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éame" sheetId="1" r:id="rId1"/>
    <sheet name="Categorías" sheetId="2" r:id="rId2"/>
    <sheet name="Números en clases" sheetId="3" r:id="rId3"/>
  </sheets>
  <definedNames>
    <definedName name="fc_aparicion">'Categorías'!$AA$5:$AA$5004</definedName>
    <definedName name="fc_cat_10">'Categorías'!$C$17</definedName>
    <definedName name="fc_cat_11">'Categorías'!$C$18</definedName>
    <definedName name="fc_cat_12">'Categorías'!$C$19</definedName>
    <definedName name="fc_cat_13">'Categorías'!$C$20</definedName>
    <definedName name="fc_cat_14">'Categorías'!$C$21</definedName>
    <definedName name="fc_cat_15">'Categorías'!$C$22</definedName>
    <definedName name="fc_cat_16">'Categorías'!$C$23</definedName>
    <definedName name="fc_cat_17">'Categorías'!$C$24</definedName>
    <definedName name="fc_cat_18">'Categorías'!$C$25</definedName>
    <definedName name="fc_cat_19">'Categorías'!$C$26</definedName>
    <definedName name="fc_cat_1">'Categorías'!$C$8</definedName>
    <definedName name="fc_cat_20">'Categorías'!$C$27</definedName>
    <definedName name="fc_cat_2">'Categorías'!$C$9</definedName>
    <definedName name="fc_cat_3">'Categorías'!$C$10</definedName>
    <definedName name="fc_cat_4">'Categorías'!$C$11</definedName>
    <definedName name="fc_cat_5">'Categorías'!$C$12</definedName>
    <definedName name="fc_cat_6">'Categorías'!$C$13</definedName>
    <definedName name="fc_cat_7">'Categorías'!$C$14</definedName>
    <definedName name="fc_cat_8">'Categorías'!$C$15</definedName>
    <definedName name="fc_cat_9">'Categorías'!$C$16</definedName>
    <definedName name="fc_datos">'Categorías'!$A$5:$A$5004</definedName>
    <definedName name="fc_distintas">'Categorías'!$D$30</definedName>
    <definedName name="fc_fuera">'Categorías'!$D$31</definedName>
    <definedName name="fc_n_10">'Categorías'!$D$17</definedName>
    <definedName name="fc_n_11">'Categorías'!$D$18</definedName>
    <definedName name="fc_n_12">'Categorías'!$D$19</definedName>
    <definedName name="fc_n_13">'Categorías'!$D$20</definedName>
    <definedName name="fc_n_14">'Categorías'!$D$21</definedName>
    <definedName name="fc_n_15">'Categorías'!$D$22</definedName>
    <definedName name="fc_n_16">'Categorías'!$D$23</definedName>
    <definedName name="fc_n_17">'Categorías'!$D$24</definedName>
    <definedName name="fc_n_18">'Categorías'!$D$25</definedName>
    <definedName name="fc_n_19">'Categorías'!$D$26</definedName>
    <definedName name="fc_n_1">'Categorías'!$D$8</definedName>
    <definedName name="fc_n_20">'Categorías'!$D$27</definedName>
    <definedName name="fc_n_2">'Categorías'!$D$9</definedName>
    <definedName name="fc_n_3">'Categorías'!$D$10</definedName>
    <definedName name="fc_n_4">'Categorías'!$D$11</definedName>
    <definedName name="fc_n_5">'Categorías'!$D$12</definedName>
    <definedName name="fc_n_6">'Categorías'!$D$13</definedName>
    <definedName name="fc_n_7">'Categorías'!$D$14</definedName>
    <definedName name="fc_n_8">'Categorías'!$D$15</definedName>
    <definedName name="fc_n_9">'Categorías'!$D$16</definedName>
    <definedName name="fc_nacum_10">'Categorías'!$F$17</definedName>
    <definedName name="fc_nacum_11">'Categorías'!$F$18</definedName>
    <definedName name="fc_nacum_12">'Categorías'!$F$19</definedName>
    <definedName name="fc_nacum_13">'Categorías'!$F$20</definedName>
    <definedName name="fc_nacum_14">'Categorías'!$F$21</definedName>
    <definedName name="fc_nacum_15">'Categorías'!$F$22</definedName>
    <definedName name="fc_nacum_16">'Categorías'!$F$23</definedName>
    <definedName name="fc_nacum_17">'Categorías'!$F$24</definedName>
    <definedName name="fc_nacum_18">'Categorías'!$F$25</definedName>
    <definedName name="fc_nacum_19">'Categorías'!$F$26</definedName>
    <definedName name="fc_nacum_1">'Categorías'!$F$8</definedName>
    <definedName name="fc_nacum_20">'Categorías'!$F$27</definedName>
    <definedName name="fc_nacum_2">'Categorías'!$F$9</definedName>
    <definedName name="fc_nacum_3">'Categorías'!$F$10</definedName>
    <definedName name="fc_nacum_4">'Categorías'!$F$11</definedName>
    <definedName name="fc_nacum_5">'Categorías'!$F$12</definedName>
    <definedName name="fc_nacum_6">'Categorías'!$F$13</definedName>
    <definedName name="fc_nacum_7">'Categorías'!$F$14</definedName>
    <definedName name="fc_nacum_8">'Categorías'!$F$15</definedName>
    <definedName name="fc_nacum_9">'Categorías'!$F$16</definedName>
    <definedName name="fc_norm">'Categorías'!$Z$5:$Z$5004</definedName>
    <definedName name="fc_orden">'Categorías'!$D$5</definedName>
    <definedName name="fc_pct_10">'Categorías'!$E$17</definedName>
    <definedName name="fc_pct_11">'Categorías'!$E$18</definedName>
    <definedName name="fc_pct_12">'Categorías'!$E$19</definedName>
    <definedName name="fc_pct_13">'Categorías'!$E$20</definedName>
    <definedName name="fc_pct_14">'Categorías'!$E$21</definedName>
    <definedName name="fc_pct_15">'Categorías'!$E$22</definedName>
    <definedName name="fc_pct_16">'Categorías'!$E$23</definedName>
    <definedName name="fc_pct_17">'Categorías'!$E$24</definedName>
    <definedName name="fc_pct_18">'Categorías'!$E$25</definedName>
    <definedName name="fc_pct_19">'Categorías'!$E$26</definedName>
    <definedName name="fc_pct_1">'Categorías'!$E$8</definedName>
    <definedName name="fc_pct_20">'Categorías'!$E$27</definedName>
    <definedName name="fc_pct_2">'Categorías'!$E$9</definedName>
    <definedName name="fc_pct_3">'Categorías'!$E$10</definedName>
    <definedName name="fc_pct_4">'Categorías'!$E$11</definedName>
    <definedName name="fc_pct_5">'Categorías'!$E$12</definedName>
    <definedName name="fc_pct_6">'Categorías'!$E$13</definedName>
    <definedName name="fc_pct_7">'Categorías'!$E$14</definedName>
    <definedName name="fc_pct_8">'Categorías'!$E$15</definedName>
    <definedName name="fc_pct_9">'Categorías'!$E$16</definedName>
    <definedName name="fc_pctacum_10">'Categorías'!$G$17</definedName>
    <definedName name="fc_pctacum_11">'Categorías'!$G$18</definedName>
    <definedName name="fc_pctacum_12">'Categorías'!$G$19</definedName>
    <definedName name="fc_pctacum_13">'Categorías'!$G$20</definedName>
    <definedName name="fc_pctacum_14">'Categorías'!$G$21</definedName>
    <definedName name="fc_pctacum_15">'Categorías'!$G$22</definedName>
    <definedName name="fc_pctacum_16">'Categorías'!$G$23</definedName>
    <definedName name="fc_pctacum_17">'Categorías'!$G$24</definedName>
    <definedName name="fc_pctacum_18">'Categorías'!$G$25</definedName>
    <definedName name="fc_pctacum_19">'Categorías'!$G$26</definedName>
    <definedName name="fc_pctacum_1">'Categorías'!$G$8</definedName>
    <definedName name="fc_pctacum_20">'Categorías'!$G$27</definedName>
    <definedName name="fc_pctacum_2">'Categorías'!$G$9</definedName>
    <definedName name="fc_pctacum_3">'Categorías'!$G$10</definedName>
    <definedName name="fc_pctacum_4">'Categorías'!$G$11</definedName>
    <definedName name="fc_pctacum_5">'Categorías'!$G$12</definedName>
    <definedName name="fc_pctacum_6">'Categorías'!$G$13</definedName>
    <definedName name="fc_pctacum_7">'Categorías'!$G$14</definedName>
    <definedName name="fc_pctacum_8">'Categorías'!$G$15</definedName>
    <definedName name="fc_pctacum_9">'Categorías'!$G$16</definedName>
    <definedName name="fc_propio">'Categorías'!$J$8:$J$27</definedName>
    <definedName name="fc_redaccion">'Categorías'!$C$35</definedName>
    <definedName name="fc_suma">'Categorías'!$D$28</definedName>
    <definedName name="fc_total">'Categorías'!$D$6</definedName>
    <definedName name="fn_ancho">'Números en clases'!$D$15</definedName>
    <definedName name="fn_clase_10">'Números en clases'!$E$28</definedName>
    <definedName name="fn_clase_11">'Números en clases'!$E$29</definedName>
    <definedName name="fn_clase_12">'Números en clases'!$E$30</definedName>
    <definedName name="fn_clase_13">'Números en clases'!$E$31</definedName>
    <definedName name="fn_clase_14">'Números en clases'!$E$32</definedName>
    <definedName name="fn_clase_15">'Números en clases'!$E$33</definedName>
    <definedName name="fn_clase_16">'Números en clases'!$E$34</definedName>
    <definedName name="fn_clase_17">'Números en clases'!$E$35</definedName>
    <definedName name="fn_clase_18">'Números en clases'!$E$36</definedName>
    <definedName name="fn_clase_19">'Números en clases'!$E$37</definedName>
    <definedName name="fn_clase_1">'Números en clases'!$E$19</definedName>
    <definedName name="fn_clase_20">'Números en clases'!$E$38</definedName>
    <definedName name="fn_clase_21">'Números en clases'!$E$39</definedName>
    <definedName name="fn_clase_22">'Números en clases'!$E$40</definedName>
    <definedName name="fn_clase_23">'Números en clases'!$E$41</definedName>
    <definedName name="fn_clase_24">'Números en clases'!$E$42</definedName>
    <definedName name="fn_clase_25">'Números en clases'!$E$43</definedName>
    <definedName name="fn_clase_2">'Números en clases'!$E$20</definedName>
    <definedName name="fn_clase_3">'Números en clases'!$E$21</definedName>
    <definedName name="fn_clase_4">'Números en clases'!$E$22</definedName>
    <definedName name="fn_clase_5">'Números en clases'!$E$23</definedName>
    <definedName name="fn_clase_6">'Números en clases'!$E$24</definedName>
    <definedName name="fn_clase_7">'Números en clases'!$E$25</definedName>
    <definedName name="fn_clase_8">'Números en clases'!$E$26</definedName>
    <definedName name="fn_clase_9">'Números en clases'!$E$27</definedName>
    <definedName name="fn_datos">'Números en clases'!$A$5:$A$5004</definedName>
    <definedName name="fn_decimales">'Números en clases'!$D$6</definedName>
    <definedName name="fn_desde_10">'Números en clases'!$D$28</definedName>
    <definedName name="fn_desde_11">'Números en clases'!$D$29</definedName>
    <definedName name="fn_desde_12">'Números en clases'!$D$30</definedName>
    <definedName name="fn_desde_13">'Números en clases'!$D$31</definedName>
    <definedName name="fn_desde_14">'Números en clases'!$D$32</definedName>
    <definedName name="fn_desde_15">'Números en clases'!$D$33</definedName>
    <definedName name="fn_desde_16">'Números en clases'!$D$34</definedName>
    <definedName name="fn_desde_17">'Números en clases'!$D$35</definedName>
    <definedName name="fn_desde_18">'Números en clases'!$D$36</definedName>
    <definedName name="fn_desde_19">'Números en clases'!$D$37</definedName>
    <definedName name="fn_desde_1">'Números en clases'!$D$19</definedName>
    <definedName name="fn_desde_20">'Números en clases'!$D$38</definedName>
    <definedName name="fn_desde_21">'Números en clases'!$D$39</definedName>
    <definedName name="fn_desde_22">'Números en clases'!$D$40</definedName>
    <definedName name="fn_desde_23">'Números en clases'!$D$41</definedName>
    <definedName name="fn_desde_24">'Números en clases'!$D$42</definedName>
    <definedName name="fn_desde_25">'Números en clases'!$D$43</definedName>
    <definedName name="fn_desde_2">'Números en clases'!$D$20</definedName>
    <definedName name="fn_desde_3">'Números en clases'!$D$21</definedName>
    <definedName name="fn_desde_4">'Números en clases'!$D$22</definedName>
    <definedName name="fn_desde_5">'Números en clases'!$D$23</definedName>
    <definedName name="fn_desde_6">'Números en clases'!$D$24</definedName>
    <definedName name="fn_desde_7">'Números en clases'!$D$25</definedName>
    <definedName name="fn_desde_8">'Números en clases'!$D$26</definedName>
    <definedName name="fn_desde_9">'Números en clases'!$D$27</definedName>
    <definedName name="fn_hasta_10">'Números en clases'!$C$28</definedName>
    <definedName name="fn_hasta_11">'Números en clases'!$C$29</definedName>
    <definedName name="fn_hasta_12">'Números en clases'!$C$30</definedName>
    <definedName name="fn_hasta_13">'Números en clases'!$C$31</definedName>
    <definedName name="fn_hasta_14">'Números en clases'!$C$32</definedName>
    <definedName name="fn_hasta_15">'Números en clases'!$C$33</definedName>
    <definedName name="fn_hasta_16">'Números en clases'!$C$34</definedName>
    <definedName name="fn_hasta_17">'Números en clases'!$C$35</definedName>
    <definedName name="fn_hasta_18">'Números en clases'!$C$36</definedName>
    <definedName name="fn_hasta_19">'Números en clases'!$C$37</definedName>
    <definedName name="fn_hasta_1">'Números en clases'!$C$19</definedName>
    <definedName name="fn_hasta_20">'Números en clases'!$C$38</definedName>
    <definedName name="fn_hasta_21">'Números en clases'!$C$39</definedName>
    <definedName name="fn_hasta_22">'Números en clases'!$C$40</definedName>
    <definedName name="fn_hasta_23">'Números en clases'!$C$41</definedName>
    <definedName name="fn_hasta_24">'Números en clases'!$C$42</definedName>
    <definedName name="fn_hasta_25">'Números en clases'!$C$43</definedName>
    <definedName name="fn_hasta_2">'Números en clases'!$C$20</definedName>
    <definedName name="fn_hasta_3">'Números en clases'!$C$21</definedName>
    <definedName name="fn_hasta_4">'Números en clases'!$C$22</definedName>
    <definedName name="fn_hasta_5">'Números en clases'!$C$23</definedName>
    <definedName name="fn_hasta_6">'Números en clases'!$C$24</definedName>
    <definedName name="fn_hasta_7">'Números en clases'!$C$25</definedName>
    <definedName name="fn_hasta_8">'Números en clases'!$C$26</definedName>
    <definedName name="fn_hasta_9">'Números en clases'!$C$27</definedName>
    <definedName name="fn_k">'Números en clases'!$D$14</definedName>
    <definedName name="fn_k_auto">'Números en clases'!$D$13</definedName>
    <definedName name="fn_k_pedido">'Números en clases'!$D$5</definedName>
    <definedName name="fn_marca_10">'Números en clases'!$F$28</definedName>
    <definedName name="fn_marca_11">'Números en clases'!$F$29</definedName>
    <definedName name="fn_marca_12">'Números en clases'!$F$30</definedName>
    <definedName name="fn_marca_13">'Números en clases'!$F$31</definedName>
    <definedName name="fn_marca_14">'Números en clases'!$F$32</definedName>
    <definedName name="fn_marca_15">'Números en clases'!$F$33</definedName>
    <definedName name="fn_marca_16">'Números en clases'!$F$34</definedName>
    <definedName name="fn_marca_17">'Números en clases'!$F$35</definedName>
    <definedName name="fn_marca_18">'Números en clases'!$F$36</definedName>
    <definedName name="fn_marca_19">'Números en clases'!$F$37</definedName>
    <definedName name="fn_marca_1">'Números en clases'!$F$19</definedName>
    <definedName name="fn_marca_20">'Números en clases'!$F$38</definedName>
    <definedName name="fn_marca_21">'Números en clases'!$F$39</definedName>
    <definedName name="fn_marca_22">'Números en clases'!$F$40</definedName>
    <definedName name="fn_marca_23">'Números en clases'!$F$41</definedName>
    <definedName name="fn_marca_24">'Números en clases'!$F$42</definedName>
    <definedName name="fn_marca_25">'Números en clases'!$F$43</definedName>
    <definedName name="fn_marca_2">'Números en clases'!$F$20</definedName>
    <definedName name="fn_marca_3">'Números en clases'!$F$21</definedName>
    <definedName name="fn_marca_4">'Números en clases'!$F$22</definedName>
    <definedName name="fn_marca_5">'Números en clases'!$F$23</definedName>
    <definedName name="fn_marca_6">'Números en clases'!$F$24</definedName>
    <definedName name="fn_marca_7">'Números en clases'!$F$25</definedName>
    <definedName name="fn_marca_8">'Números en clases'!$F$26</definedName>
    <definedName name="fn_marca_9">'Números en clases'!$F$27</definedName>
    <definedName name="fn_max">'Números en clases'!$D$11</definedName>
    <definedName name="fn_min">'Números en clases'!$D$10</definedName>
    <definedName name="fn_n">'Números en clases'!$D$9</definedName>
    <definedName name="fn_n_10">'Números en clases'!$G$28</definedName>
    <definedName name="fn_n_11">'Números en clases'!$G$29</definedName>
    <definedName name="fn_n_12">'Números en clases'!$G$30</definedName>
    <definedName name="fn_n_13">'Números en clases'!$G$31</definedName>
    <definedName name="fn_n_14">'Números en clases'!$G$32</definedName>
    <definedName name="fn_n_15">'Números en clases'!$G$33</definedName>
    <definedName name="fn_n_16">'Números en clases'!$G$34</definedName>
    <definedName name="fn_n_17">'Números en clases'!$G$35</definedName>
    <definedName name="fn_n_18">'Números en clases'!$G$36</definedName>
    <definedName name="fn_n_19">'Números en clases'!$G$37</definedName>
    <definedName name="fn_n_1">'Números en clases'!$G$19</definedName>
    <definedName name="fn_n_20">'Números en clases'!$G$38</definedName>
    <definedName name="fn_n_21">'Números en clases'!$G$39</definedName>
    <definedName name="fn_n_22">'Números en clases'!$G$40</definedName>
    <definedName name="fn_n_23">'Números en clases'!$G$41</definedName>
    <definedName name="fn_n_24">'Números en clases'!$G$42</definedName>
    <definedName name="fn_n_25">'Números en clases'!$G$43</definedName>
    <definedName name="fn_n_2">'Números en clases'!$G$20</definedName>
    <definedName name="fn_n_3">'Números en clases'!$G$21</definedName>
    <definedName name="fn_n_4">'Números en clases'!$G$22</definedName>
    <definedName name="fn_n_5">'Números en clases'!$G$23</definedName>
    <definedName name="fn_n_6">'Números en clases'!$G$24</definedName>
    <definedName name="fn_n_7">'Números en clases'!$G$25</definedName>
    <definedName name="fn_n_8">'Números en clases'!$G$26</definedName>
    <definedName name="fn_n_9">'Números en clases'!$G$27</definedName>
    <definedName name="fn_nacum_10">'Números en clases'!$I$28</definedName>
    <definedName name="fn_nacum_11">'Números en clases'!$I$29</definedName>
    <definedName name="fn_nacum_12">'Números en clases'!$I$30</definedName>
    <definedName name="fn_nacum_13">'Números en clases'!$I$31</definedName>
    <definedName name="fn_nacum_14">'Números en clases'!$I$32</definedName>
    <definedName name="fn_nacum_15">'Números en clases'!$I$33</definedName>
    <definedName name="fn_nacum_16">'Números en clases'!$I$34</definedName>
    <definedName name="fn_nacum_17">'Números en clases'!$I$35</definedName>
    <definedName name="fn_nacum_18">'Números en clases'!$I$36</definedName>
    <definedName name="fn_nacum_19">'Números en clases'!$I$37</definedName>
    <definedName name="fn_nacum_1">'Números en clases'!$I$19</definedName>
    <definedName name="fn_nacum_20">'Números en clases'!$I$38</definedName>
    <definedName name="fn_nacum_21">'Números en clases'!$I$39</definedName>
    <definedName name="fn_nacum_22">'Números en clases'!$I$40</definedName>
    <definedName name="fn_nacum_23">'Números en clases'!$I$41</definedName>
    <definedName name="fn_nacum_24">'Números en clases'!$I$42</definedName>
    <definedName name="fn_nacum_25">'Números en clases'!$I$43</definedName>
    <definedName name="fn_nacum_2">'Números en clases'!$I$20</definedName>
    <definedName name="fn_nacum_3">'Números en clases'!$I$21</definedName>
    <definedName name="fn_nacum_4">'Números en clases'!$I$22</definedName>
    <definedName name="fn_nacum_5">'Números en clases'!$I$23</definedName>
    <definedName name="fn_nacum_6">'Números en clases'!$I$24</definedName>
    <definedName name="fn_nacum_7">'Números en clases'!$I$25</definedName>
    <definedName name="fn_nacum_8">'Números en clases'!$I$26</definedName>
    <definedName name="fn_nacum_9">'Números en clases'!$I$27</definedName>
    <definedName name="fn_pct_10">'Números en clases'!$H$28</definedName>
    <definedName name="fn_pct_11">'Números en clases'!$H$29</definedName>
    <definedName name="fn_pct_12">'Números en clases'!$H$30</definedName>
    <definedName name="fn_pct_13">'Números en clases'!$H$31</definedName>
    <definedName name="fn_pct_14">'Números en clases'!$H$32</definedName>
    <definedName name="fn_pct_15">'Números en clases'!$H$33</definedName>
    <definedName name="fn_pct_16">'Números en clases'!$H$34</definedName>
    <definedName name="fn_pct_17">'Números en clases'!$H$35</definedName>
    <definedName name="fn_pct_18">'Números en clases'!$H$36</definedName>
    <definedName name="fn_pct_19">'Números en clases'!$H$37</definedName>
    <definedName name="fn_pct_1">'Números en clases'!$H$19</definedName>
    <definedName name="fn_pct_20">'Números en clases'!$H$38</definedName>
    <definedName name="fn_pct_21">'Números en clases'!$H$39</definedName>
    <definedName name="fn_pct_22">'Números en clases'!$H$40</definedName>
    <definedName name="fn_pct_23">'Números en clases'!$H$41</definedName>
    <definedName name="fn_pct_24">'Números en clases'!$H$42</definedName>
    <definedName name="fn_pct_25">'Números en clases'!$H$43</definedName>
    <definedName name="fn_pct_2">'Números en clases'!$H$20</definedName>
    <definedName name="fn_pct_3">'Números en clases'!$H$21</definedName>
    <definedName name="fn_pct_4">'Números en clases'!$H$22</definedName>
    <definedName name="fn_pct_5">'Números en clases'!$H$23</definedName>
    <definedName name="fn_pct_6">'Números en clases'!$H$24</definedName>
    <definedName name="fn_pct_7">'Números en clases'!$H$25</definedName>
    <definedName name="fn_pct_8">'Números en clases'!$H$26</definedName>
    <definedName name="fn_pct_9">'Números en clases'!$H$27</definedName>
    <definedName name="fn_pctacum_10">'Números en clases'!$J$28</definedName>
    <definedName name="fn_pctacum_11">'Números en clases'!$J$29</definedName>
    <definedName name="fn_pctacum_12">'Números en clases'!$J$30</definedName>
    <definedName name="fn_pctacum_13">'Números en clases'!$J$31</definedName>
    <definedName name="fn_pctacum_14">'Números en clases'!$J$32</definedName>
    <definedName name="fn_pctacum_15">'Números en clases'!$J$33</definedName>
    <definedName name="fn_pctacum_16">'Números en clases'!$J$34</definedName>
    <definedName name="fn_pctacum_17">'Números en clases'!$J$35</definedName>
    <definedName name="fn_pctacum_18">'Números en clases'!$J$36</definedName>
    <definedName name="fn_pctacum_19">'Números en clases'!$J$37</definedName>
    <definedName name="fn_pctacum_1">'Números en clases'!$J$19</definedName>
    <definedName name="fn_pctacum_20">'Números en clases'!$J$38</definedName>
    <definedName name="fn_pctacum_21">'Números en clases'!$J$39</definedName>
    <definedName name="fn_pctacum_22">'Números en clases'!$J$40</definedName>
    <definedName name="fn_pctacum_23">'Números en clases'!$J$41</definedName>
    <definedName name="fn_pctacum_24">'Números en clases'!$J$42</definedName>
    <definedName name="fn_pctacum_25">'Números en clases'!$J$43</definedName>
    <definedName name="fn_pctacum_2">'Números en clases'!$J$20</definedName>
    <definedName name="fn_pctacum_3">'Números en clases'!$J$21</definedName>
    <definedName name="fn_pctacum_4">'Números en clases'!$J$22</definedName>
    <definedName name="fn_pctacum_5">'Números en clases'!$J$23</definedName>
    <definedName name="fn_pctacum_6">'Números en clases'!$J$24</definedName>
    <definedName name="fn_pctacum_7">'Números en clases'!$J$25</definedName>
    <definedName name="fn_pctacum_8">'Números en clases'!$J$26</definedName>
    <definedName name="fn_pctacum_9">'Números en clases'!$J$27</definedName>
    <definedName name="fn_ric">'Números en clases'!$D$12</definedName>
    <definedName name="fn_suma">'Números en clases'!$G$44</definedName>
  </definedNames>
  <calcPr calcId="124519" fullCalcOnLoad="1"/>
</workbook>
</file>

<file path=xl/sharedStrings.xml><?xml version="1.0" encoding="utf-8"?>
<sst xmlns="http://schemas.openxmlformats.org/spreadsheetml/2006/main" count="213" uniqueCount="59">
  <si>
    <t>Tabla de frecuencias</t>
  </si>
  <si>
    <t>Plantilla de estadistica.ar</t>
  </si>
  <si>
    <t>Dos hojas para la primera tabla de cualquier trabajo: la distribución de frecuencias. Una para variables categóricas —sexo, nivel educativo, respuestas de una escala— y otra para números agrupados en clases. Las dos calculan frecuencias absolutas, porcentajes y acumuladas, y dibujan las barras.</t>
  </si>
  <si>
    <t>Cómo se usa</t>
  </si>
  <si>
    <t>1. En «Categorías», borrá el ejemplo de la columna A y pegá tus respuestas, una por fila (hasta 5.000). Las categorías se detectan solas.
2. Elegí el orden: por frecuencia, por aparición, o uno propio escrito en la columna J —el que corresponde a una escala ordinal, como «Nada, Poco, Bastante, Mucho»—.
3. En «Números en clases», pegá los datos en la columna A. La cantidad de clases se calcula sola (podés fijarla vos) con la misma regla que la calculadora del sitio.
Todo lo que no es verde se calcula solo.</t>
  </si>
  <si>
    <t>Detalles que conviene saber</t>
  </si>
  <si>
    <t>Mayúsculas y espacios de más no cuentan: «Sí», «sí» y « sí » son la misma categoría. Las celdas vacías no se cuentan.
Las barras son caracteres dentro de las celdas, no un gráfico de Excel: así se adaptan a la cantidad de categorías y se ven igual en Excel y en LibreOffice.</t>
  </si>
  <si>
    <t>Cómo está hecha</t>
  </si>
  <si>
    <t>Cada fórmula está verificada: un programa carga datos de prueba, recalcula la planilla con Excel y con LibreOffice, y compara los resultados con los de la calculadora del sitio.</t>
  </si>
  <si>
    <t>Explicación completa y otras herramientas:</t>
  </si>
  <si>
    <t>https://estadistica.ar/herramientas/plantilla-frecuencias/</t>
  </si>
  <si>
    <t>Licencia CC BY-NC-SA 4.0: podés usarla, modificarla y compartirla citando la fuente, sin fines comerciales y con la misma licencia. Hecha por Mu3Sigma.</t>
  </si>
  <si>
    <t>Tabla de frecuencias de una variable categórica</t>
  </si>
  <si>
    <t>Pegá las respuestas en la columna A, desde la fila 5 (hasta 5.000). El ejemplo: nivel educativo de 150 personas, ficticio.</t>
  </si>
  <si>
    <t>Respuesta</t>
  </si>
  <si>
    <t>Secundario completo</t>
  </si>
  <si>
    <t>Secundario incompleto</t>
  </si>
  <si>
    <t>Universitario incompleto</t>
  </si>
  <si>
    <t>Universitario completo</t>
  </si>
  <si>
    <t>Terciario completo</t>
  </si>
  <si>
    <t>Primario completo</t>
  </si>
  <si>
    <t>normalizada</t>
  </si>
  <si>
    <t>aparición</t>
  </si>
  <si>
    <t>Parámetros</t>
  </si>
  <si>
    <t>Orden de las categorías</t>
  </si>
  <si>
    <t>Por frecuencia</t>
  </si>
  <si>
    <t>Orden propio (opcional)</t>
  </si>
  <si>
    <t>Para escalas ordinales: escribí las categorías en el orden en que tienen que aparecer y elegí «Orden propio».</t>
  </si>
  <si>
    <t>n</t>
  </si>
  <si>
    <t>puesto</t>
  </si>
  <si>
    <t>Respuestas (sin contar las vacías)</t>
  </si>
  <si>
    <t>Categoría</t>
  </si>
  <si>
    <t>%</t>
  </si>
  <si>
    <t>n acum.</t>
  </si>
  <si>
    <t>% acum.</t>
  </si>
  <si>
    <t>Gráfico</t>
  </si>
  <si>
    <t>Total</t>
  </si>
  <si>
    <t>Categorías distintas</t>
  </si>
  <si>
    <t>Respuestas que no están en la tabla</t>
  </si>
  <si>
    <t>Mayúsculas y espacios de más no cuentan: «Sí», «sí» y « sí » son la misma categoría.</t>
  </si>
  <si>
    <t>Para el informe</t>
  </si>
  <si>
    <t>Tabla de frecuencias en clases</t>
  </si>
  <si>
    <t>Pegá los datos en la columna A, desde la fila 5 (hasta 5.000). Las clases se arman solas, igual que en la calculadora del sitio. El ejemplo: la edad de 200 personas, ficticia.</t>
  </si>
  <si>
    <t>Datos</t>
  </si>
  <si>
    <t>Cantidad de clases (vacío = automática)</t>
  </si>
  <si>
    <t>Decimales de los límites</t>
  </si>
  <si>
    <t>Los datos</t>
  </si>
  <si>
    <t>Mínimo</t>
  </si>
  <si>
    <t>Máximo</t>
  </si>
  <si>
    <t>Rango intercuartílico</t>
  </si>
  <si>
    <t>Clases sugeridas</t>
  </si>
  <si>
    <t>Clases usadas</t>
  </si>
  <si>
    <t>Ancho de cada clase</t>
  </si>
  <si>
    <t>Tabla</t>
  </si>
  <si>
    <t>Desde</t>
  </si>
  <si>
    <t>Clase</t>
  </si>
  <si>
    <t>Marca</t>
  </si>
  <si>
    <t>Hasta</t>
  </si>
  <si>
    <t>Las clases incluyen el límite inferior y no el superior, salvo la última, que incluye los dos para que el máximo entre.</t>
  </si>
</sst>
</file>

<file path=xl/styles.xml><?xml version="1.0" encoding="utf-8"?>
<styleSheet xmlns="http://schemas.openxmlformats.org/spreadsheetml/2006/main">
  <numFmts count="3">
    <numFmt numFmtId="164" formatCode="0.0%"/>
    <numFmt numFmtId="165" formatCode="0.0000"/>
    <numFmt numFmtId="166" formatCode="0.00"/>
  </numFmts>
  <fonts count="11">
    <font>
      <sz val="11"/>
      <color theme="1"/>
      <name val="Calibri"/>
      <family val="2"/>
      <scheme val="minor"/>
    </font>
    <font>
      <b/>
      <sz val="16"/>
      <color rgb="FF191C1F"/>
      <name val="Arial"/>
      <family val="2"/>
    </font>
    <font>
      <i/>
      <sz val="10"/>
      <color rgb="FF5B626A"/>
      <name val="Arial"/>
      <family val="2"/>
    </font>
    <font>
      <sz val="10"/>
      <color rgb="FF191C1F"/>
      <name val="Arial"/>
      <family val="2"/>
    </font>
    <font>
      <b/>
      <sz val="10"/>
      <color rgb="FF0E6B60"/>
      <name val="Arial"/>
      <family val="2"/>
    </font>
    <font>
      <sz val="10"/>
      <color rgb="FF5B626A"/>
      <name val="Arial"/>
      <family val="2"/>
    </font>
    <font>
      <u/>
      <sz val="10"/>
      <color rgb="FF0E6B60"/>
      <name val="Arial"/>
      <family val="2"/>
    </font>
    <font>
      <sz val="9"/>
      <color rgb="FF5B626A"/>
      <name val="Arial"/>
      <family val="2"/>
    </font>
    <font>
      <b/>
      <sz val="10"/>
      <color rgb="FF191C1F"/>
      <name val="Arial"/>
      <family val="2"/>
    </font>
    <font>
      <sz val="10"/>
      <color rgb="FF0E6B60"/>
      <name val="Arial"/>
      <family val="2"/>
    </font>
    <font>
      <i/>
      <sz val="10"/>
      <color rgb="FF9E382B"/>
      <name val="Arial"/>
      <family val="2"/>
    </font>
  </fonts>
  <fills count="4">
    <fill>
      <patternFill patternType="none"/>
    </fill>
    <fill>
      <patternFill patternType="gray125"/>
    </fill>
    <fill>
      <patternFill patternType="solid">
        <fgColor rgb="FFF4F2EC"/>
        <bgColor indexed="64"/>
      </patternFill>
    </fill>
    <fill>
      <patternFill patternType="solid">
        <fgColor rgb="FFE4F1EE"/>
        <bgColor indexed="64"/>
      </patternFill>
    </fill>
  </fills>
  <borders count="4">
    <border>
      <left/>
      <right/>
      <top/>
      <bottom/>
      <diagonal/>
    </border>
    <border>
      <left/>
      <right/>
      <top/>
      <bottom style="thin">
        <color rgb="FF0E6B60"/>
      </bottom>
      <diagonal/>
    </border>
    <border>
      <left/>
      <right/>
      <top/>
      <bottom style="thin">
        <color rgb="FFCBC5B9"/>
      </bottom>
      <diagonal/>
    </border>
    <border>
      <left style="thin">
        <color rgb="FFCBC5B9"/>
      </left>
      <right style="thin">
        <color rgb="FFCBC5B9"/>
      </right>
      <top style="thin">
        <color rgb="FFCBC5B9"/>
      </top>
      <bottom style="thin">
        <color rgb="FFCBC5B9"/>
      </bottom>
      <diagonal/>
    </border>
  </borders>
  <cellStyleXfs count="1">
    <xf numFmtId="0" fontId="0" fillId="0" borderId="0"/>
  </cellStyleXfs>
  <cellXfs count="16">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1" xfId="0" applyFont="1" applyBorder="1"/>
    <xf numFmtId="0" fontId="5" fillId="0" borderId="0" xfId="0" applyFont="1"/>
    <xf numFmtId="0" fontId="6" fillId="0" borderId="0" xfId="0" applyFont="1"/>
    <xf numFmtId="0" fontId="7" fillId="0" borderId="0" xfId="0" applyFont="1" applyAlignment="1">
      <alignment vertical="top" wrapText="1"/>
    </xf>
    <xf numFmtId="0" fontId="8" fillId="2" borderId="2" xfId="0" applyFont="1" applyFill="1" applyBorder="1" applyAlignment="1">
      <alignment horizontal="center"/>
    </xf>
    <xf numFmtId="0" fontId="3" fillId="3" borderId="3" xfId="0" applyFont="1" applyFill="1" applyBorder="1"/>
    <xf numFmtId="1" fontId="3" fillId="0" borderId="0" xfId="0" applyNumberFormat="1" applyFont="1"/>
    <xf numFmtId="164" fontId="3" fillId="0" borderId="0" xfId="0" applyNumberFormat="1" applyFont="1"/>
    <xf numFmtId="0" fontId="9" fillId="0" borderId="0" xfId="0" applyFont="1"/>
    <xf numFmtId="0" fontId="10" fillId="0" borderId="0" xfId="0" applyFont="1" applyAlignment="1">
      <alignment wrapText="1"/>
    </xf>
    <xf numFmtId="165" fontId="3" fillId="0" borderId="0" xfId="0" applyNumberFormat="1" applyFont="1"/>
    <xf numFmtId="166" fontId="3" fillId="0" borderId="0" xfId="0" applyNumberFormat="1"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stadistica.ar/herramientas/plantilla-frecuencias/" TargetMode="External"/></Relationships>
</file>

<file path=xl/worksheets/sheet1.xml><?xml version="1.0" encoding="utf-8"?>
<worksheet xmlns="http://schemas.openxmlformats.org/spreadsheetml/2006/main" xmlns:r="http://schemas.openxmlformats.org/officeDocument/2006/relationships">
  <dimension ref="B2:B19"/>
  <sheetViews>
    <sheetView showGridLines="0" tabSelected="1" workbookViewId="0"/>
  </sheetViews>
  <sheetFormatPr defaultRowHeight="15"/>
  <cols>
    <col min="1" max="1" width="2.7109375" customWidth="1"/>
    <col min="2" max="2" width="100.7109375" customWidth="1"/>
  </cols>
  <sheetData>
    <row r="2" spans="2:2">
      <c r="B2" s="1" t="s">
        <v>0</v>
      </c>
    </row>
    <row r="3" spans="2:2">
      <c r="B3" s="2" t="s">
        <v>1</v>
      </c>
    </row>
    <row r="5" spans="2:2" ht="60" customHeight="1">
      <c r="B5" s="3" t="s">
        <v>2</v>
      </c>
    </row>
    <row r="7" spans="2:2">
      <c r="B7" s="4" t="s">
        <v>3</v>
      </c>
    </row>
    <row r="8" spans="2:2" ht="135" customHeight="1">
      <c r="B8" s="3" t="s">
        <v>4</v>
      </c>
    </row>
    <row r="10" spans="2:2">
      <c r="B10" s="4" t="s">
        <v>5</v>
      </c>
    </row>
    <row r="11" spans="2:2" ht="60" customHeight="1">
      <c r="B11" s="3" t="s">
        <v>6</v>
      </c>
    </row>
    <row r="13" spans="2:2">
      <c r="B13" s="4" t="s">
        <v>7</v>
      </c>
    </row>
    <row r="14" spans="2:2" ht="30" customHeight="1">
      <c r="B14" s="3" t="s">
        <v>8</v>
      </c>
    </row>
    <row r="16" spans="2:2">
      <c r="B16" s="5" t="s">
        <v>9</v>
      </c>
    </row>
    <row r="17" spans="2:2">
      <c r="B17" s="6" t="s">
        <v>10</v>
      </c>
    </row>
    <row r="19" spans="2:2">
      <c r="B19" s="7" t="s">
        <v>11</v>
      </c>
    </row>
  </sheetData>
  <hyperlinks>
    <hyperlink ref="B17"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A5004"/>
  <sheetViews>
    <sheetView showGridLines="0" workbookViewId="0">
      <pane ySplit="4" topLeftCell="A5" activePane="bottomLeft" state="frozen"/>
      <selection pane="bottomLeft"/>
    </sheetView>
  </sheetViews>
  <sheetFormatPr defaultRowHeight="15"/>
  <cols>
    <col min="1" max="1" width="22.7109375" customWidth="1"/>
    <col min="2" max="2" width="3.7109375" customWidth="1"/>
    <col min="3" max="3" width="26.7109375" customWidth="1"/>
    <col min="4" max="7" width="11.7109375" customWidth="1"/>
    <col min="8" max="8" width="34.7109375" customWidth="1"/>
    <col min="9" max="9" width="3.7109375" customWidth="1"/>
    <col min="10" max="10" width="24.7109375" customWidth="1"/>
    <col min="12" max="14" width="0" hidden="1" customWidth="1"/>
    <col min="26" max="27" width="0" hidden="1" customWidth="1"/>
  </cols>
  <sheetData>
    <row r="1" spans="1:27">
      <c r="A1" s="1" t="s">
        <v>12</v>
      </c>
    </row>
    <row r="2" spans="1:27">
      <c r="A2" s="2" t="s">
        <v>13</v>
      </c>
    </row>
    <row r="4" spans="1:27">
      <c r="A4" s="8" t="s">
        <v>14</v>
      </c>
      <c r="C4" s="4" t="s">
        <v>23</v>
      </c>
      <c r="Z4" t="s">
        <v>21</v>
      </c>
      <c r="AA4" t="s">
        <v>22</v>
      </c>
    </row>
    <row r="5" spans="1:27">
      <c r="A5" s="9" t="s">
        <v>15</v>
      </c>
      <c r="C5" s="5" t="s">
        <v>24</v>
      </c>
      <c r="D5" s="9" t="s">
        <v>25</v>
      </c>
      <c r="Z5" t="str">
        <f>TRIM(A5&amp;"")</f>
        <v>Secundario completo</v>
      </c>
      <c r="AA5">
        <f>IF(Z5="","",IF(MATCH(SUBSTITUTE(SUBSTITUTE(SUBSTITUTE(Z5,"~","~~"),"*","~*"),"?","~?"),$Z$5:$Z$5004,0)=1,MAX($AA$4:AA4)+1,""))</f>
        <v>1.0</v>
      </c>
    </row>
    <row r="6" spans="1:27">
      <c r="A6" s="9" t="s">
        <v>16</v>
      </c>
      <c r="C6" s="5" t="s">
        <v>30</v>
      </c>
      <c r="D6" s="10">
        <f>SUMPRODUCT(--(fc_norm&lt;&gt;""))</f>
        <v>150.0</v>
      </c>
      <c r="J6" s="8" t="s">
        <v>26</v>
      </c>
      <c r="Z6" t="str">
        <f>TRIM(A6&amp;"")</f>
        <v>Secundario incompleto</v>
      </c>
      <c r="AA6">
        <f>IF(Z6="","",IF(MATCH(SUBSTITUTE(SUBSTITUTE(SUBSTITUTE(Z6,"~","~~"),"*","~*"),"?","~?"),$Z$5:$Z$5004,0)=2,MAX($AA$4:AA5)+1,""))</f>
        <v>2.0</v>
      </c>
    </row>
    <row r="7" spans="1:27">
      <c r="A7" s="9" t="s">
        <v>16</v>
      </c>
      <c r="C7" s="8" t="s">
        <v>31</v>
      </c>
      <c r="D7" s="8" t="s">
        <v>28</v>
      </c>
      <c r="E7" s="8" t="s">
        <v>32</v>
      </c>
      <c r="F7" s="8" t="s">
        <v>33</v>
      </c>
      <c r="G7" s="8" t="s">
        <v>34</v>
      </c>
      <c r="H7" s="8" t="s">
        <v>35</v>
      </c>
      <c r="L7" t="s">
        <v>22</v>
      </c>
      <c r="M7" t="s">
        <v>28</v>
      </c>
      <c r="N7" t="s">
        <v>29</v>
      </c>
      <c r="Z7" t="str">
        <f>TRIM(A7&amp;"")</f>
        <v>Secundario incompleto</v>
      </c>
      <c r="AA7">
        <f>IF(Z7="","",IF(MATCH(SUBSTITUTE(SUBSTITUTE(SUBSTITUTE(Z7,"~","~~"),"*","~*"),"?","~?"),$Z$5:$Z$5004,0)=3,MAX($AA$4:AA6)+1,""))</f>
        <v/>
      </c>
    </row>
    <row r="8" spans="1:27">
      <c r="A8" s="9" t="s">
        <v>17</v>
      </c>
      <c r="C8" s="5" t="str">
        <f>IF(fc_orden="Por aparición",L8,IF(fc_orden="Orden propio",IF(J8="","",TRIM(J8&amp;"")),IFERROR(INDEX($L$8:$L$27,MATCH(1,$N$8:$N$27,0)),"")))</f>
        <v>Secundario completo</v>
      </c>
      <c r="D8" s="10">
        <f>IF(C8="","",SUMPRODUCT(--(fc_norm=C8)))</f>
        <v>49.0</v>
      </c>
      <c r="E8" s="11">
        <f>IF(OR(C8="",fc_total=0),"",D8/fc_total)</f>
        <v>0.32666666666666666</v>
      </c>
      <c r="F8" s="10">
        <f>IF(C8="","",SUM($D$8:D8))</f>
        <v>49.0</v>
      </c>
      <c r="G8" s="11">
        <f>IF(OR(C8="",fc_total=0),"",F8/fc_total)</f>
        <v>0.32666666666666666</v>
      </c>
      <c r="H8" s="12" t="str">
        <f>IF(OR(C8="",N(D8)=0),"",REPT("█",ROUND(30*D8/MAX($D$8:$D$27),0)))</f>
        <v>██████████████████████████████</v>
      </c>
      <c r="J8" s="9"/>
      <c r="L8" t="str">
        <f>IFERROR(INDEX(fc_norm,MATCH(1,fc_aparicion,0)),"")</f>
        <v>Secundario completo</v>
      </c>
      <c r="M8">
        <f>IF(L8="","",SUMPRODUCT(--(fc_norm=L8)))</f>
        <v>49.0</v>
      </c>
      <c r="N8">
        <f>IF(L8="","",COUNTIF($M$8:$M$27,"&gt;"&amp;M8)+COUNTIF($M$7:M7,M8)+1)</f>
        <v>1.0</v>
      </c>
      <c r="Z8" t="str">
        <f>TRIM(A8&amp;"")</f>
        <v>Universitario incompleto</v>
      </c>
      <c r="AA8">
        <f>IF(Z8="","",IF(MATCH(SUBSTITUTE(SUBSTITUTE(SUBSTITUTE(Z8,"~","~~"),"*","~*"),"?","~?"),$Z$5:$Z$5004,0)=4,MAX($AA$4:AA7)+1,""))</f>
        <v>3.0</v>
      </c>
    </row>
    <row r="9" spans="1:27">
      <c r="A9" s="9" t="s">
        <v>15</v>
      </c>
      <c r="C9" s="5" t="str">
        <f>IF(fc_orden="Por aparición",L9,IF(fc_orden="Orden propio",IF(J9="","",TRIM(J9&amp;"")),IFERROR(INDEX($L$8:$L$27,MATCH(2,$N$8:$N$27,0)),"")))</f>
        <v>Universitario incompleto</v>
      </c>
      <c r="D9" s="10">
        <f>IF(C9="","",SUMPRODUCT(--(fc_norm=C9)))</f>
        <v>34.0</v>
      </c>
      <c r="E9" s="11">
        <f>IF(OR(C9="",fc_total=0),"",D9/fc_total)</f>
        <v>0.22666666666666666</v>
      </c>
      <c r="F9" s="10">
        <f>IF(C9="","",SUM($D$8:D9))</f>
        <v>83.0</v>
      </c>
      <c r="G9" s="11">
        <f>IF(OR(C9="",fc_total=0),"",F9/fc_total)</f>
        <v>0.5533333333333333</v>
      </c>
      <c r="H9" s="12" t="str">
        <f>IF(OR(C9="",N(D9)=0),"",REPT("█",ROUND(30*D9/MAX($D$8:$D$27),0)))</f>
        <v>█████████████████████</v>
      </c>
      <c r="J9" s="9"/>
      <c r="L9" t="str">
        <f>IFERROR(INDEX(fc_norm,MATCH(2,fc_aparicion,0)),"")</f>
        <v>Secundario incompleto</v>
      </c>
      <c r="M9">
        <f>IF(L9="","",SUMPRODUCT(--(fc_norm=L9)))</f>
        <v>21.0</v>
      </c>
      <c r="N9">
        <f>IF(L9="","",COUNTIF($M$8:$M$27,"&gt;"&amp;M9)+COUNTIF($M$7:M8,M9)+1)</f>
        <v>4.0</v>
      </c>
      <c r="Z9" t="str">
        <f>TRIM(A9&amp;"")</f>
        <v>Secundario completo</v>
      </c>
      <c r="AA9">
        <f>IF(Z9="","",IF(MATCH(SUBSTITUTE(SUBSTITUTE(SUBSTITUTE(Z9,"~","~~"),"*","~*"),"?","~?"),$Z$5:$Z$5004,0)=5,MAX($AA$4:AA8)+1,""))</f>
        <v/>
      </c>
    </row>
    <row r="10" spans="1:27">
      <c r="A10" s="9" t="s">
        <v>18</v>
      </c>
      <c r="C10" s="5" t="str">
        <f>IF(fc_orden="Por aparición",L10,IF(fc_orden="Orden propio",IF(J10="","",TRIM(J10&amp;"")),IFERROR(INDEX($L$8:$L$27,MATCH(3,$N$8:$N$27,0)),"")))</f>
        <v>Universitario completo</v>
      </c>
      <c r="D10" s="10">
        <f>IF(C10="","",SUMPRODUCT(--(fc_norm=C10)))</f>
        <v>24.0</v>
      </c>
      <c r="E10" s="11">
        <f>IF(OR(C10="",fc_total=0),"",D10/fc_total)</f>
        <v>0.16</v>
      </c>
      <c r="F10" s="10">
        <f>IF(C10="","",SUM($D$8:D10))</f>
        <v>107.0</v>
      </c>
      <c r="G10" s="11">
        <f>IF(OR(C10="",fc_total=0),"",F10/fc_total)</f>
        <v>0.7133333333333334</v>
      </c>
      <c r="H10" s="12" t="str">
        <f>IF(OR(C10="",N(D10)=0),"",REPT("█",ROUND(30*D10/MAX($D$8:$D$27),0)))</f>
        <v>███████████████</v>
      </c>
      <c r="J10" s="9"/>
      <c r="L10" t="str">
        <f>IFERROR(INDEX(fc_norm,MATCH(3,fc_aparicion,0)),"")</f>
        <v>Universitario incompleto</v>
      </c>
      <c r="M10">
        <f>IF(L10="","",SUMPRODUCT(--(fc_norm=L10)))</f>
        <v>34.0</v>
      </c>
      <c r="N10">
        <f>IF(L10="","",COUNTIF($M$8:$M$27,"&gt;"&amp;M10)+COUNTIF($M$7:M9,M10)+1)</f>
        <v>2.0</v>
      </c>
      <c r="Z10" t="str">
        <f>TRIM(A10&amp;"")</f>
        <v>Universitario completo</v>
      </c>
      <c r="AA10">
        <f>IF(Z10="","",IF(MATCH(SUBSTITUTE(SUBSTITUTE(SUBSTITUTE(Z10,"~","~~"),"*","~*"),"?","~?"),$Z$5:$Z$5004,0)=6,MAX($AA$4:AA9)+1,""))</f>
        <v>4.0</v>
      </c>
    </row>
    <row r="11" spans="1:27">
      <c r="A11" s="9" t="s">
        <v>18</v>
      </c>
      <c r="C11" s="5" t="str">
        <f>IF(fc_orden="Por aparición",L11,IF(fc_orden="Orden propio",IF(J11="","",TRIM(J11&amp;"")),IFERROR(INDEX($L$8:$L$27,MATCH(4,$N$8:$N$27,0)),"")))</f>
        <v>Secundario incompleto</v>
      </c>
      <c r="D11" s="10">
        <f>IF(C11="","",SUMPRODUCT(--(fc_norm=C11)))</f>
        <v>21.0</v>
      </c>
      <c r="E11" s="11">
        <f>IF(OR(C11="",fc_total=0),"",D11/fc_total)</f>
        <v>0.14</v>
      </c>
      <c r="F11" s="10">
        <f>IF(C11="","",SUM($D$8:D11))</f>
        <v>128.0</v>
      </c>
      <c r="G11" s="11">
        <f>IF(OR(C11="",fc_total=0),"",F11/fc_total)</f>
        <v>0.8533333333333334</v>
      </c>
      <c r="H11" s="12" t="str">
        <f>IF(OR(C11="",N(D11)=0),"",REPT("█",ROUND(30*D11/MAX($D$8:$D$27),0)))</f>
        <v>█████████████</v>
      </c>
      <c r="J11" s="9"/>
      <c r="L11" t="str">
        <f>IFERROR(INDEX(fc_norm,MATCH(4,fc_aparicion,0)),"")</f>
        <v>Universitario completo</v>
      </c>
      <c r="M11">
        <f>IF(L11="","",SUMPRODUCT(--(fc_norm=L11)))</f>
        <v>24.0</v>
      </c>
      <c r="N11">
        <f>IF(L11="","",COUNTIF($M$8:$M$27,"&gt;"&amp;M11)+COUNTIF($M$7:M10,M11)+1)</f>
        <v>3.0</v>
      </c>
      <c r="Z11" t="str">
        <f>TRIM(A11&amp;"")</f>
        <v>Universitario completo</v>
      </c>
      <c r="AA11">
        <f>IF(Z11="","",IF(MATCH(SUBSTITUTE(SUBSTITUTE(SUBSTITUTE(Z11,"~","~~"),"*","~*"),"?","~?"),$Z$5:$Z$5004,0)=7,MAX($AA$4:AA10)+1,""))</f>
        <v/>
      </c>
    </row>
    <row r="12" spans="1:27">
      <c r="A12" s="9" t="s">
        <v>17</v>
      </c>
      <c r="C12" s="5" t="str">
        <f>IF(fc_orden="Por aparición",L12,IF(fc_orden="Orden propio",IF(J12="","",TRIM(J12&amp;"")),IFERROR(INDEX($L$8:$L$27,MATCH(5,$N$8:$N$27,0)),"")))</f>
        <v>Primario completo</v>
      </c>
      <c r="D12" s="10">
        <f>IF(C12="","",SUMPRODUCT(--(fc_norm=C12)))</f>
        <v>15.0</v>
      </c>
      <c r="E12" s="11">
        <f>IF(OR(C12="",fc_total=0),"",D12/fc_total)</f>
        <v>0.1</v>
      </c>
      <c r="F12" s="10">
        <f>IF(C12="","",SUM($D$8:D12))</f>
        <v>143.0</v>
      </c>
      <c r="G12" s="11">
        <f>IF(OR(C12="",fc_total=0),"",F12/fc_total)</f>
        <v>0.9533333333333334</v>
      </c>
      <c r="H12" s="12" t="str">
        <f>IF(OR(C12="",N(D12)=0),"",REPT("█",ROUND(30*D12/MAX($D$8:$D$27),0)))</f>
        <v>█████████</v>
      </c>
      <c r="J12" s="9"/>
      <c r="L12" t="str">
        <f>IFERROR(INDEX(fc_norm,MATCH(5,fc_aparicion,0)),"")</f>
        <v>Terciario completo</v>
      </c>
      <c r="M12">
        <f>IF(L12="","",SUMPRODUCT(--(fc_norm=L12)))</f>
        <v>7.0</v>
      </c>
      <c r="N12">
        <f>IF(L12="","",COUNTIF($M$8:$M$27,"&gt;"&amp;M12)+COUNTIF($M$7:M11,M12)+1)</f>
        <v>6.0</v>
      </c>
      <c r="Z12" t="str">
        <f>TRIM(A12&amp;"")</f>
        <v>Universitario incompleto</v>
      </c>
      <c r="AA12">
        <f>IF(Z12="","",IF(MATCH(SUBSTITUTE(SUBSTITUTE(SUBSTITUTE(Z12,"~","~~"),"*","~*"),"?","~?"),$Z$5:$Z$5004,0)=8,MAX($AA$4:AA11)+1,""))</f>
        <v/>
      </c>
    </row>
    <row r="13" spans="1:27">
      <c r="A13" s="9" t="s">
        <v>17</v>
      </c>
      <c r="C13" s="5" t="str">
        <f>IF(fc_orden="Por aparición",L13,IF(fc_orden="Orden propio",IF(J13="","",TRIM(J13&amp;"")),IFERROR(INDEX($L$8:$L$27,MATCH(6,$N$8:$N$27,0)),"")))</f>
        <v>Terciario completo</v>
      </c>
      <c r="D13" s="10">
        <f>IF(C13="","",SUMPRODUCT(--(fc_norm=C13)))</f>
        <v>7.0</v>
      </c>
      <c r="E13" s="11">
        <f>IF(OR(C13="",fc_total=0),"",D13/fc_total)</f>
        <v>0.04666666666666667</v>
      </c>
      <c r="F13" s="10">
        <f>IF(C13="","",SUM($D$8:D13))</f>
        <v>150.0</v>
      </c>
      <c r="G13" s="11">
        <f>IF(OR(C13="",fc_total=0),"",F13/fc_total)</f>
        <v>1.0</v>
      </c>
      <c r="H13" s="12" t="str">
        <f>IF(OR(C13="",N(D13)=0),"",REPT("█",ROUND(30*D13/MAX($D$8:$D$27),0)))</f>
        <v>████</v>
      </c>
      <c r="J13" s="9"/>
      <c r="L13" t="str">
        <f>IFERROR(INDEX(fc_norm,MATCH(6,fc_aparicion,0)),"")</f>
        <v>Primario completo</v>
      </c>
      <c r="M13">
        <f>IF(L13="","",SUMPRODUCT(--(fc_norm=L13)))</f>
        <v>15.0</v>
      </c>
      <c r="N13">
        <f>IF(L13="","",COUNTIF($M$8:$M$27,"&gt;"&amp;M13)+COUNTIF($M$7:M12,M13)+1)</f>
        <v>5.0</v>
      </c>
      <c r="Z13" t="str">
        <f>TRIM(A13&amp;"")</f>
        <v>Universitario incompleto</v>
      </c>
      <c r="AA13">
        <f>IF(Z13="","",IF(MATCH(SUBSTITUTE(SUBSTITUTE(SUBSTITUTE(Z13,"~","~~"),"*","~*"),"?","~?"),$Z$5:$Z$5004,0)=9,MAX($AA$4:AA12)+1,""))</f>
        <v/>
      </c>
    </row>
    <row r="14" spans="1:27">
      <c r="A14" s="9" t="s">
        <v>15</v>
      </c>
      <c r="C14" s="5">
        <f>IF(fc_orden="Por aparición",L14,IF(fc_orden="Orden propio",IF(J14="","",TRIM(J14&amp;"")),IFERROR(INDEX($L$8:$L$27,MATCH(7,$N$8:$N$27,0)),"")))</f>
        <v/>
      </c>
      <c r="D14" s="10">
        <f>IF(C14="","",SUMPRODUCT(--(fc_norm=C14)))</f>
        <v/>
      </c>
      <c r="E14" s="11">
        <f>IF(OR(C14="",fc_total=0),"",D14/fc_total)</f>
        <v/>
      </c>
      <c r="F14" s="10">
        <f>IF(C14="","",SUM($D$8:D14))</f>
        <v/>
      </c>
      <c r="G14" s="11">
        <f>IF(OR(C14="",fc_total=0),"",F14/fc_total)</f>
        <v/>
      </c>
      <c r="H14" s="12">
        <f>IF(OR(C14="",N(D14)=0),"",REPT("█",ROUND(30*D14/MAX($D$8:$D$27),0)))</f>
        <v/>
      </c>
      <c r="J14" s="9"/>
      <c r="L14">
        <f>IFERROR(INDEX(fc_norm,MATCH(7,fc_aparicion,0)),"")</f>
        <v/>
      </c>
      <c r="M14">
        <f>IF(L14="","",SUMPRODUCT(--(fc_norm=L14)))</f>
        <v/>
      </c>
      <c r="N14">
        <f>IF(L14="","",COUNTIF($M$8:$M$27,"&gt;"&amp;M14)+COUNTIF($M$7:M13,M14)+1)</f>
        <v/>
      </c>
      <c r="Z14" t="str">
        <f>TRIM(A14&amp;"")</f>
        <v>Secundario completo</v>
      </c>
      <c r="AA14">
        <f>IF(Z14="","",IF(MATCH(SUBSTITUTE(SUBSTITUTE(SUBSTITUTE(Z14,"~","~~"),"*","~*"),"?","~?"),$Z$5:$Z$5004,0)=10,MAX($AA$4:AA13)+1,""))</f>
        <v/>
      </c>
    </row>
    <row r="15" spans="1:27">
      <c r="A15" s="9" t="s">
        <v>15</v>
      </c>
      <c r="C15" s="5">
        <f>IF(fc_orden="Por aparición",L15,IF(fc_orden="Orden propio",IF(J15="","",TRIM(J15&amp;"")),IFERROR(INDEX($L$8:$L$27,MATCH(8,$N$8:$N$27,0)),"")))</f>
        <v/>
      </c>
      <c r="D15" s="10">
        <f>IF(C15="","",SUMPRODUCT(--(fc_norm=C15)))</f>
        <v/>
      </c>
      <c r="E15" s="11">
        <f>IF(OR(C15="",fc_total=0),"",D15/fc_total)</f>
        <v/>
      </c>
      <c r="F15" s="10">
        <f>IF(C15="","",SUM($D$8:D15))</f>
        <v/>
      </c>
      <c r="G15" s="11">
        <f>IF(OR(C15="",fc_total=0),"",F15/fc_total)</f>
        <v/>
      </c>
      <c r="H15" s="12">
        <f>IF(OR(C15="",N(D15)=0),"",REPT("█",ROUND(30*D15/MAX($D$8:$D$27),0)))</f>
        <v/>
      </c>
      <c r="J15" s="9"/>
      <c r="L15">
        <f>IFERROR(INDEX(fc_norm,MATCH(8,fc_aparicion,0)),"")</f>
        <v/>
      </c>
      <c r="M15">
        <f>IF(L15="","",SUMPRODUCT(--(fc_norm=L15)))</f>
        <v/>
      </c>
      <c r="N15">
        <f>IF(L15="","",COUNTIF($M$8:$M$27,"&gt;"&amp;M15)+COUNTIF($M$7:M14,M15)+1)</f>
        <v/>
      </c>
      <c r="Z15" t="str">
        <f>TRIM(A15&amp;"")</f>
        <v>Secundario completo</v>
      </c>
      <c r="AA15">
        <f>IF(Z15="","",IF(MATCH(SUBSTITUTE(SUBSTITUTE(SUBSTITUTE(Z15,"~","~~"),"*","~*"),"?","~?"),$Z$5:$Z$5004,0)=11,MAX($AA$4:AA14)+1,""))</f>
        <v/>
      </c>
    </row>
    <row r="16" spans="1:27">
      <c r="A16" s="9" t="s">
        <v>17</v>
      </c>
      <c r="C16" s="5">
        <f>IF(fc_orden="Por aparición",L16,IF(fc_orden="Orden propio",IF(J16="","",TRIM(J16&amp;"")),IFERROR(INDEX($L$8:$L$27,MATCH(9,$N$8:$N$27,0)),"")))</f>
        <v/>
      </c>
      <c r="D16" s="10">
        <f>IF(C16="","",SUMPRODUCT(--(fc_norm=C16)))</f>
        <v/>
      </c>
      <c r="E16" s="11">
        <f>IF(OR(C16="",fc_total=0),"",D16/fc_total)</f>
        <v/>
      </c>
      <c r="F16" s="10">
        <f>IF(C16="","",SUM($D$8:D16))</f>
        <v/>
      </c>
      <c r="G16" s="11">
        <f>IF(OR(C16="",fc_total=0),"",F16/fc_total)</f>
        <v/>
      </c>
      <c r="H16" s="12">
        <f>IF(OR(C16="",N(D16)=0),"",REPT("█",ROUND(30*D16/MAX($D$8:$D$27),0)))</f>
        <v/>
      </c>
      <c r="J16" s="9"/>
      <c r="L16">
        <f>IFERROR(INDEX(fc_norm,MATCH(9,fc_aparicion,0)),"")</f>
        <v/>
      </c>
      <c r="M16">
        <f>IF(L16="","",SUMPRODUCT(--(fc_norm=L16)))</f>
        <v/>
      </c>
      <c r="N16">
        <f>IF(L16="","",COUNTIF($M$8:$M$27,"&gt;"&amp;M16)+COUNTIF($M$7:M15,M16)+1)</f>
        <v/>
      </c>
      <c r="Z16" t="str">
        <f>TRIM(A16&amp;"")</f>
        <v>Universitario incompleto</v>
      </c>
      <c r="AA16">
        <f>IF(Z16="","",IF(MATCH(SUBSTITUTE(SUBSTITUTE(SUBSTITUTE(Z16,"~","~~"),"*","~*"),"?","~?"),$Z$5:$Z$5004,0)=12,MAX($AA$4:AA15)+1,""))</f>
        <v/>
      </c>
    </row>
    <row r="17" spans="1:27">
      <c r="A17" s="9" t="s">
        <v>16</v>
      </c>
      <c r="C17" s="5">
        <f>IF(fc_orden="Por aparición",L17,IF(fc_orden="Orden propio",IF(J17="","",TRIM(J17&amp;"")),IFERROR(INDEX($L$8:$L$27,MATCH(10,$N$8:$N$27,0)),"")))</f>
        <v/>
      </c>
      <c r="D17" s="10">
        <f>IF(C17="","",SUMPRODUCT(--(fc_norm=C17)))</f>
        <v/>
      </c>
      <c r="E17" s="11">
        <f>IF(OR(C17="",fc_total=0),"",D17/fc_total)</f>
        <v/>
      </c>
      <c r="F17" s="10">
        <f>IF(C17="","",SUM($D$8:D17))</f>
        <v/>
      </c>
      <c r="G17" s="11">
        <f>IF(OR(C17="",fc_total=0),"",F17/fc_total)</f>
        <v/>
      </c>
      <c r="H17" s="12">
        <f>IF(OR(C17="",N(D17)=0),"",REPT("█",ROUND(30*D17/MAX($D$8:$D$27),0)))</f>
        <v/>
      </c>
      <c r="J17" s="9"/>
      <c r="L17">
        <f>IFERROR(INDEX(fc_norm,MATCH(10,fc_aparicion,0)),"")</f>
        <v/>
      </c>
      <c r="M17">
        <f>IF(L17="","",SUMPRODUCT(--(fc_norm=L17)))</f>
        <v/>
      </c>
      <c r="N17">
        <f>IF(L17="","",COUNTIF($M$8:$M$27,"&gt;"&amp;M17)+COUNTIF($M$7:M16,M17)+1)</f>
        <v/>
      </c>
      <c r="Z17" t="str">
        <f>TRIM(A17&amp;"")</f>
        <v>Secundario incompleto</v>
      </c>
      <c r="AA17">
        <f>IF(Z17="","",IF(MATCH(SUBSTITUTE(SUBSTITUTE(SUBSTITUTE(Z17,"~","~~"),"*","~*"),"?","~?"),$Z$5:$Z$5004,0)=13,MAX($AA$4:AA16)+1,""))</f>
        <v/>
      </c>
    </row>
    <row r="18" spans="1:27">
      <c r="A18" s="9" t="s">
        <v>15</v>
      </c>
      <c r="C18" s="5">
        <f>IF(fc_orden="Por aparición",L18,IF(fc_orden="Orden propio",IF(J18="","",TRIM(J18&amp;"")),IFERROR(INDEX($L$8:$L$27,MATCH(11,$N$8:$N$27,0)),"")))</f>
        <v/>
      </c>
      <c r="D18" s="10">
        <f>IF(C18="","",SUMPRODUCT(--(fc_norm=C18)))</f>
        <v/>
      </c>
      <c r="E18" s="11">
        <f>IF(OR(C18="",fc_total=0),"",D18/fc_total)</f>
        <v/>
      </c>
      <c r="F18" s="10">
        <f>IF(C18="","",SUM($D$8:D18))</f>
        <v/>
      </c>
      <c r="G18" s="11">
        <f>IF(OR(C18="",fc_total=0),"",F18/fc_total)</f>
        <v/>
      </c>
      <c r="H18" s="12">
        <f>IF(OR(C18="",N(D18)=0),"",REPT("█",ROUND(30*D18/MAX($D$8:$D$27),0)))</f>
        <v/>
      </c>
      <c r="J18" s="9"/>
      <c r="L18">
        <f>IFERROR(INDEX(fc_norm,MATCH(11,fc_aparicion,0)),"")</f>
        <v/>
      </c>
      <c r="M18">
        <f>IF(L18="","",SUMPRODUCT(--(fc_norm=L18)))</f>
        <v/>
      </c>
      <c r="N18">
        <f>IF(L18="","",COUNTIF($M$8:$M$27,"&gt;"&amp;M18)+COUNTIF($M$7:M17,M18)+1)</f>
        <v/>
      </c>
      <c r="Z18" t="str">
        <f>TRIM(A18&amp;"")</f>
        <v>Secundario completo</v>
      </c>
      <c r="AA18">
        <f>IF(Z18="","",IF(MATCH(SUBSTITUTE(SUBSTITUTE(SUBSTITUTE(Z18,"~","~~"),"*","~*"),"?","~?"),$Z$5:$Z$5004,0)=14,MAX($AA$4:AA17)+1,""))</f>
        <v/>
      </c>
    </row>
    <row r="19" spans="1:27">
      <c r="A19" s="9" t="s">
        <v>18</v>
      </c>
      <c r="C19" s="5">
        <f>IF(fc_orden="Por aparición",L19,IF(fc_orden="Orden propio",IF(J19="","",TRIM(J19&amp;"")),IFERROR(INDEX($L$8:$L$27,MATCH(12,$N$8:$N$27,0)),"")))</f>
        <v/>
      </c>
      <c r="D19" s="10">
        <f>IF(C19="","",SUMPRODUCT(--(fc_norm=C19)))</f>
        <v/>
      </c>
      <c r="E19" s="11">
        <f>IF(OR(C19="",fc_total=0),"",D19/fc_total)</f>
        <v/>
      </c>
      <c r="F19" s="10">
        <f>IF(C19="","",SUM($D$8:D19))</f>
        <v/>
      </c>
      <c r="G19" s="11">
        <f>IF(OR(C19="",fc_total=0),"",F19/fc_total)</f>
        <v/>
      </c>
      <c r="H19" s="12">
        <f>IF(OR(C19="",N(D19)=0),"",REPT("█",ROUND(30*D19/MAX($D$8:$D$27),0)))</f>
        <v/>
      </c>
      <c r="J19" s="9"/>
      <c r="L19">
        <f>IFERROR(INDEX(fc_norm,MATCH(12,fc_aparicion,0)),"")</f>
        <v/>
      </c>
      <c r="M19">
        <f>IF(L19="","",SUMPRODUCT(--(fc_norm=L19)))</f>
        <v/>
      </c>
      <c r="N19">
        <f>IF(L19="","",COUNTIF($M$8:$M$27,"&gt;"&amp;M19)+COUNTIF($M$7:M18,M19)+1)</f>
        <v/>
      </c>
      <c r="Z19" t="str">
        <f>TRIM(A19&amp;"")</f>
        <v>Universitario completo</v>
      </c>
      <c r="AA19">
        <f>IF(Z19="","",IF(MATCH(SUBSTITUTE(SUBSTITUTE(SUBSTITUTE(Z19,"~","~~"),"*","~*"),"?","~?"),$Z$5:$Z$5004,0)=15,MAX($AA$4:AA18)+1,""))</f>
        <v/>
      </c>
    </row>
    <row r="20" spans="1:27">
      <c r="A20" s="9" t="s">
        <v>15</v>
      </c>
      <c r="C20" s="5">
        <f>IF(fc_orden="Por aparición",L20,IF(fc_orden="Orden propio",IF(J20="","",TRIM(J20&amp;"")),IFERROR(INDEX($L$8:$L$27,MATCH(13,$N$8:$N$27,0)),"")))</f>
        <v/>
      </c>
      <c r="D20" s="10">
        <f>IF(C20="","",SUMPRODUCT(--(fc_norm=C20)))</f>
        <v/>
      </c>
      <c r="E20" s="11">
        <f>IF(OR(C20="",fc_total=0),"",D20/fc_total)</f>
        <v/>
      </c>
      <c r="F20" s="10">
        <f>IF(C20="","",SUM($D$8:D20))</f>
        <v/>
      </c>
      <c r="G20" s="11">
        <f>IF(OR(C20="",fc_total=0),"",F20/fc_total)</f>
        <v/>
      </c>
      <c r="H20" s="12">
        <f>IF(OR(C20="",N(D20)=0),"",REPT("█",ROUND(30*D20/MAX($D$8:$D$27),0)))</f>
        <v/>
      </c>
      <c r="J20" s="9"/>
      <c r="L20">
        <f>IFERROR(INDEX(fc_norm,MATCH(13,fc_aparicion,0)),"")</f>
        <v/>
      </c>
      <c r="M20">
        <f>IF(L20="","",SUMPRODUCT(--(fc_norm=L20)))</f>
        <v/>
      </c>
      <c r="N20">
        <f>IF(L20="","",COUNTIF($M$8:$M$27,"&gt;"&amp;M20)+COUNTIF($M$7:M19,M20)+1)</f>
        <v/>
      </c>
      <c r="Z20" t="str">
        <f>TRIM(A20&amp;"")</f>
        <v>Secundario completo</v>
      </c>
      <c r="AA20">
        <f>IF(Z20="","",IF(MATCH(SUBSTITUTE(SUBSTITUTE(SUBSTITUTE(Z20,"~","~~"),"*","~*"),"?","~?"),$Z$5:$Z$5004,0)=16,MAX($AA$4:AA19)+1,""))</f>
        <v/>
      </c>
    </row>
    <row r="21" spans="1:27">
      <c r="A21" s="9" t="s">
        <v>15</v>
      </c>
      <c r="C21" s="5">
        <f>IF(fc_orden="Por aparición",L21,IF(fc_orden="Orden propio",IF(J21="","",TRIM(J21&amp;"")),IFERROR(INDEX($L$8:$L$27,MATCH(14,$N$8:$N$27,0)),"")))</f>
        <v/>
      </c>
      <c r="D21" s="10">
        <f>IF(C21="","",SUMPRODUCT(--(fc_norm=C21)))</f>
        <v/>
      </c>
      <c r="E21" s="11">
        <f>IF(OR(C21="",fc_total=0),"",D21/fc_total)</f>
        <v/>
      </c>
      <c r="F21" s="10">
        <f>IF(C21="","",SUM($D$8:D21))</f>
        <v/>
      </c>
      <c r="G21" s="11">
        <f>IF(OR(C21="",fc_total=0),"",F21/fc_total)</f>
        <v/>
      </c>
      <c r="H21" s="12">
        <f>IF(OR(C21="",N(D21)=0),"",REPT("█",ROUND(30*D21/MAX($D$8:$D$27),0)))</f>
        <v/>
      </c>
      <c r="J21" s="9"/>
      <c r="L21">
        <f>IFERROR(INDEX(fc_norm,MATCH(14,fc_aparicion,0)),"")</f>
        <v/>
      </c>
      <c r="M21">
        <f>IF(L21="","",SUMPRODUCT(--(fc_norm=L21)))</f>
        <v/>
      </c>
      <c r="N21">
        <f>IF(L21="","",COUNTIF($M$8:$M$27,"&gt;"&amp;M21)+COUNTIF($M$7:M20,M21)+1)</f>
        <v/>
      </c>
      <c r="Z21" t="str">
        <f>TRIM(A21&amp;"")</f>
        <v>Secundario completo</v>
      </c>
      <c r="AA21">
        <f>IF(Z21="","",IF(MATCH(SUBSTITUTE(SUBSTITUTE(SUBSTITUTE(Z21,"~","~~"),"*","~*"),"?","~?"),$Z$5:$Z$5004,0)=17,MAX($AA$4:AA20)+1,""))</f>
        <v/>
      </c>
    </row>
    <row r="22" spans="1:27">
      <c r="A22" s="9" t="s">
        <v>15</v>
      </c>
      <c r="C22" s="5">
        <f>IF(fc_orden="Por aparición",L22,IF(fc_orden="Orden propio",IF(J22="","",TRIM(J22&amp;"")),IFERROR(INDEX($L$8:$L$27,MATCH(15,$N$8:$N$27,0)),"")))</f>
        <v/>
      </c>
      <c r="D22" s="10">
        <f>IF(C22="","",SUMPRODUCT(--(fc_norm=C22)))</f>
        <v/>
      </c>
      <c r="E22" s="11">
        <f>IF(OR(C22="",fc_total=0),"",D22/fc_total)</f>
        <v/>
      </c>
      <c r="F22" s="10">
        <f>IF(C22="","",SUM($D$8:D22))</f>
        <v/>
      </c>
      <c r="G22" s="11">
        <f>IF(OR(C22="",fc_total=0),"",F22/fc_total)</f>
        <v/>
      </c>
      <c r="H22" s="12">
        <f>IF(OR(C22="",N(D22)=0),"",REPT("█",ROUND(30*D22/MAX($D$8:$D$27),0)))</f>
        <v/>
      </c>
      <c r="J22" s="9"/>
      <c r="L22">
        <f>IFERROR(INDEX(fc_norm,MATCH(15,fc_aparicion,0)),"")</f>
        <v/>
      </c>
      <c r="M22">
        <f>IF(L22="","",SUMPRODUCT(--(fc_norm=L22)))</f>
        <v/>
      </c>
      <c r="N22">
        <f>IF(L22="","",COUNTIF($M$8:$M$27,"&gt;"&amp;M22)+COUNTIF($M$7:M21,M22)+1)</f>
        <v/>
      </c>
      <c r="Z22" t="str">
        <f>TRIM(A22&amp;"")</f>
        <v>Secundario completo</v>
      </c>
      <c r="AA22">
        <f>IF(Z22="","",IF(MATCH(SUBSTITUTE(SUBSTITUTE(SUBSTITUTE(Z22,"~","~~"),"*","~*"),"?","~?"),$Z$5:$Z$5004,0)=18,MAX($AA$4:AA21)+1,""))</f>
        <v/>
      </c>
    </row>
    <row r="23" spans="1:27">
      <c r="A23" s="9" t="s">
        <v>19</v>
      </c>
      <c r="C23" s="5">
        <f>IF(fc_orden="Por aparición",L23,IF(fc_orden="Orden propio",IF(J23="","",TRIM(J23&amp;"")),IFERROR(INDEX($L$8:$L$27,MATCH(16,$N$8:$N$27,0)),"")))</f>
        <v/>
      </c>
      <c r="D23" s="10">
        <f>IF(C23="","",SUMPRODUCT(--(fc_norm=C23)))</f>
        <v/>
      </c>
      <c r="E23" s="11">
        <f>IF(OR(C23="",fc_total=0),"",D23/fc_total)</f>
        <v/>
      </c>
      <c r="F23" s="10">
        <f>IF(C23="","",SUM($D$8:D23))</f>
        <v/>
      </c>
      <c r="G23" s="11">
        <f>IF(OR(C23="",fc_total=0),"",F23/fc_total)</f>
        <v/>
      </c>
      <c r="H23" s="12">
        <f>IF(OR(C23="",N(D23)=0),"",REPT("█",ROUND(30*D23/MAX($D$8:$D$27),0)))</f>
        <v/>
      </c>
      <c r="J23" s="9"/>
      <c r="L23">
        <f>IFERROR(INDEX(fc_norm,MATCH(16,fc_aparicion,0)),"")</f>
        <v/>
      </c>
      <c r="M23">
        <f>IF(L23="","",SUMPRODUCT(--(fc_norm=L23)))</f>
        <v/>
      </c>
      <c r="N23">
        <f>IF(L23="","",COUNTIF($M$8:$M$27,"&gt;"&amp;M23)+COUNTIF($M$7:M22,M23)+1)</f>
        <v/>
      </c>
      <c r="Z23" t="str">
        <f>TRIM(A23&amp;"")</f>
        <v>Terciario completo</v>
      </c>
      <c r="AA23">
        <f>IF(Z23="","",IF(MATCH(SUBSTITUTE(SUBSTITUTE(SUBSTITUTE(Z23,"~","~~"),"*","~*"),"?","~?"),$Z$5:$Z$5004,0)=19,MAX($AA$4:AA22)+1,""))</f>
        <v>5.0</v>
      </c>
    </row>
    <row r="24" spans="1:27">
      <c r="A24" s="9" t="s">
        <v>16</v>
      </c>
      <c r="C24" s="5">
        <f>IF(fc_orden="Por aparición",L24,IF(fc_orden="Orden propio",IF(J24="","",TRIM(J24&amp;"")),IFERROR(INDEX($L$8:$L$27,MATCH(17,$N$8:$N$27,0)),"")))</f>
        <v/>
      </c>
      <c r="D24" s="10">
        <f>IF(C24="","",SUMPRODUCT(--(fc_norm=C24)))</f>
        <v/>
      </c>
      <c r="E24" s="11">
        <f>IF(OR(C24="",fc_total=0),"",D24/fc_total)</f>
        <v/>
      </c>
      <c r="F24" s="10">
        <f>IF(C24="","",SUM($D$8:D24))</f>
        <v/>
      </c>
      <c r="G24" s="11">
        <f>IF(OR(C24="",fc_total=0),"",F24/fc_total)</f>
        <v/>
      </c>
      <c r="H24" s="12">
        <f>IF(OR(C24="",N(D24)=0),"",REPT("█",ROUND(30*D24/MAX($D$8:$D$27),0)))</f>
        <v/>
      </c>
      <c r="J24" s="9"/>
      <c r="L24">
        <f>IFERROR(INDEX(fc_norm,MATCH(17,fc_aparicion,0)),"")</f>
        <v/>
      </c>
      <c r="M24">
        <f>IF(L24="","",SUMPRODUCT(--(fc_norm=L24)))</f>
        <v/>
      </c>
      <c r="N24">
        <f>IF(L24="","",COUNTIF($M$8:$M$27,"&gt;"&amp;M24)+COUNTIF($M$7:M23,M24)+1)</f>
        <v/>
      </c>
      <c r="Z24" t="str">
        <f>TRIM(A24&amp;"")</f>
        <v>Secundario incompleto</v>
      </c>
      <c r="AA24">
        <f>IF(Z24="","",IF(MATCH(SUBSTITUTE(SUBSTITUTE(SUBSTITUTE(Z24,"~","~~"),"*","~*"),"?","~?"),$Z$5:$Z$5004,0)=20,MAX($AA$4:AA23)+1,""))</f>
        <v/>
      </c>
    </row>
    <row r="25" spans="1:27">
      <c r="A25" s="9" t="s">
        <v>18</v>
      </c>
      <c r="C25" s="5">
        <f>IF(fc_orden="Por aparición",L25,IF(fc_orden="Orden propio",IF(J25="","",TRIM(J25&amp;"")),IFERROR(INDEX($L$8:$L$27,MATCH(18,$N$8:$N$27,0)),"")))</f>
        <v/>
      </c>
      <c r="D25" s="10">
        <f>IF(C25="","",SUMPRODUCT(--(fc_norm=C25)))</f>
        <v/>
      </c>
      <c r="E25" s="11">
        <f>IF(OR(C25="",fc_total=0),"",D25/fc_total)</f>
        <v/>
      </c>
      <c r="F25" s="10">
        <f>IF(C25="","",SUM($D$8:D25))</f>
        <v/>
      </c>
      <c r="G25" s="11">
        <f>IF(OR(C25="",fc_total=0),"",F25/fc_total)</f>
        <v/>
      </c>
      <c r="H25" s="12">
        <f>IF(OR(C25="",N(D25)=0),"",REPT("█",ROUND(30*D25/MAX($D$8:$D$27),0)))</f>
        <v/>
      </c>
      <c r="J25" s="9"/>
      <c r="L25">
        <f>IFERROR(INDEX(fc_norm,MATCH(18,fc_aparicion,0)),"")</f>
        <v/>
      </c>
      <c r="M25">
        <f>IF(L25="","",SUMPRODUCT(--(fc_norm=L25)))</f>
        <v/>
      </c>
      <c r="N25">
        <f>IF(L25="","",COUNTIF($M$8:$M$27,"&gt;"&amp;M25)+COUNTIF($M$7:M24,M25)+1)</f>
        <v/>
      </c>
      <c r="Z25" t="str">
        <f>TRIM(A25&amp;"")</f>
        <v>Universitario completo</v>
      </c>
      <c r="AA25">
        <f>IF(Z25="","",IF(MATCH(SUBSTITUTE(SUBSTITUTE(SUBSTITUTE(Z25,"~","~~"),"*","~*"),"?","~?"),$Z$5:$Z$5004,0)=21,MAX($AA$4:AA24)+1,""))</f>
        <v/>
      </c>
    </row>
    <row r="26" spans="1:27">
      <c r="A26" s="9" t="s">
        <v>16</v>
      </c>
      <c r="C26" s="5">
        <f>IF(fc_orden="Por aparición",L26,IF(fc_orden="Orden propio",IF(J26="","",TRIM(J26&amp;"")),IFERROR(INDEX($L$8:$L$27,MATCH(19,$N$8:$N$27,0)),"")))</f>
        <v/>
      </c>
      <c r="D26" s="10">
        <f>IF(C26="","",SUMPRODUCT(--(fc_norm=C26)))</f>
        <v/>
      </c>
      <c r="E26" s="11">
        <f>IF(OR(C26="",fc_total=0),"",D26/fc_total)</f>
        <v/>
      </c>
      <c r="F26" s="10">
        <f>IF(C26="","",SUM($D$8:D26))</f>
        <v/>
      </c>
      <c r="G26" s="11">
        <f>IF(OR(C26="",fc_total=0),"",F26/fc_total)</f>
        <v/>
      </c>
      <c r="H26" s="12">
        <f>IF(OR(C26="",N(D26)=0),"",REPT("█",ROUND(30*D26/MAX($D$8:$D$27),0)))</f>
        <v/>
      </c>
      <c r="J26" s="9"/>
      <c r="L26">
        <f>IFERROR(INDEX(fc_norm,MATCH(19,fc_aparicion,0)),"")</f>
        <v/>
      </c>
      <c r="M26">
        <f>IF(L26="","",SUMPRODUCT(--(fc_norm=L26)))</f>
        <v/>
      </c>
      <c r="N26">
        <f>IF(L26="","",COUNTIF($M$8:$M$27,"&gt;"&amp;M26)+COUNTIF($M$7:M25,M26)+1)</f>
        <v/>
      </c>
      <c r="Z26" t="str">
        <f>TRIM(A26&amp;"")</f>
        <v>Secundario incompleto</v>
      </c>
      <c r="AA26">
        <f>IF(Z26="","",IF(MATCH(SUBSTITUTE(SUBSTITUTE(SUBSTITUTE(Z26,"~","~~"),"*","~*"),"?","~?"),$Z$5:$Z$5004,0)=22,MAX($AA$4:AA25)+1,""))</f>
        <v/>
      </c>
    </row>
    <row r="27" spans="1:27">
      <c r="A27" s="9" t="s">
        <v>15</v>
      </c>
      <c r="C27" s="5">
        <f>IF(fc_orden="Por aparición",L27,IF(fc_orden="Orden propio",IF(J27="","",TRIM(J27&amp;"")),IFERROR(INDEX($L$8:$L$27,MATCH(20,$N$8:$N$27,0)),"")))</f>
        <v/>
      </c>
      <c r="D27" s="10">
        <f>IF(C27="","",SUMPRODUCT(--(fc_norm=C27)))</f>
        <v/>
      </c>
      <c r="E27" s="11">
        <f>IF(OR(C27="",fc_total=0),"",D27/fc_total)</f>
        <v/>
      </c>
      <c r="F27" s="10">
        <f>IF(C27="","",SUM($D$8:D27))</f>
        <v/>
      </c>
      <c r="G27" s="11">
        <f>IF(OR(C27="",fc_total=0),"",F27/fc_total)</f>
        <v/>
      </c>
      <c r="H27" s="12">
        <f>IF(OR(C27="",N(D27)=0),"",REPT("█",ROUND(30*D27/MAX($D$8:$D$27),0)))</f>
        <v/>
      </c>
      <c r="J27" s="9"/>
      <c r="L27">
        <f>IFERROR(INDEX(fc_norm,MATCH(20,fc_aparicion,0)),"")</f>
        <v/>
      </c>
      <c r="M27">
        <f>IF(L27="","",SUMPRODUCT(--(fc_norm=L27)))</f>
        <v/>
      </c>
      <c r="N27">
        <f>IF(L27="","",COUNTIF($M$8:$M$27,"&gt;"&amp;M27)+COUNTIF($M$7:M26,M27)+1)</f>
        <v/>
      </c>
      <c r="Z27" t="str">
        <f>TRIM(A27&amp;"")</f>
        <v>Secundario completo</v>
      </c>
      <c r="AA27">
        <f>IF(Z27="","",IF(MATCH(SUBSTITUTE(SUBSTITUTE(SUBSTITUTE(Z27,"~","~~"),"*","~*"),"?","~?"),$Z$5:$Z$5004,0)=23,MAX($AA$4:AA26)+1,""))</f>
        <v/>
      </c>
    </row>
    <row r="28" spans="1:27">
      <c r="A28" s="9" t="s">
        <v>15</v>
      </c>
      <c r="C28" s="8" t="s">
        <v>36</v>
      </c>
      <c r="D28" s="10">
        <f>SUM(D8:D27)</f>
        <v>150.0</v>
      </c>
      <c r="E28" s="11">
        <f>IF(fc_total=0,"",D28/fc_total)</f>
        <v>1.0</v>
      </c>
      <c r="Z28" t="str">
        <f>TRIM(A28&amp;"")</f>
        <v>Secundario completo</v>
      </c>
      <c r="AA28">
        <f>IF(Z28="","",IF(MATCH(SUBSTITUTE(SUBSTITUTE(SUBSTITUTE(Z28,"~","~~"),"*","~*"),"?","~?"),$Z$5:$Z$5004,0)=24,MAX($AA$4:AA27)+1,""))</f>
        <v/>
      </c>
    </row>
    <row r="29" spans="1:27">
      <c r="A29" s="9" t="s">
        <v>17</v>
      </c>
      <c r="J29" s="7" t="s">
        <v>27</v>
      </c>
      <c r="Z29" t="str">
        <f>TRIM(A29&amp;"")</f>
        <v>Universitario incompleto</v>
      </c>
      <c r="AA29">
        <f>IF(Z29="","",IF(MATCH(SUBSTITUTE(SUBSTITUTE(SUBSTITUTE(Z29,"~","~~"),"*","~*"),"?","~?"),$Z$5:$Z$5004,0)=25,MAX($AA$4:AA28)+1,""))</f>
        <v/>
      </c>
    </row>
    <row r="30" spans="1:27">
      <c r="A30" s="9" t="s">
        <v>15</v>
      </c>
      <c r="C30" s="5" t="s">
        <v>37</v>
      </c>
      <c r="D30" s="10">
        <f>MAX(fc_aparicion)</f>
        <v>6.0</v>
      </c>
      <c r="E30" s="13">
        <f>IF(fc_distintas&gt;20,"Hay "&amp;fc_distintas&amp;" categorías y la tabla muestra 20.","")</f>
        <v/>
      </c>
      <c r="Z30" t="str">
        <f>TRIM(A30&amp;"")</f>
        <v>Secundario completo</v>
      </c>
      <c r="AA30">
        <f>IF(Z30="","",IF(MATCH(SUBSTITUTE(SUBSTITUTE(SUBSTITUTE(Z30,"~","~~"),"*","~*"),"?","~?"),$Z$5:$Z$5004,0)=26,MAX($AA$4:AA29)+1,""))</f>
        <v/>
      </c>
    </row>
    <row r="31" spans="1:27">
      <c r="A31" s="9" t="s">
        <v>20</v>
      </c>
      <c r="C31" s="5" t="s">
        <v>38</v>
      </c>
      <c r="D31" s="10">
        <f>fc_total-fc_suma</f>
        <v>0.0</v>
      </c>
      <c r="E31" s="13">
        <f>IF(fc_fuera&gt;0,IF(fc_orden="Orden propio","Hay respuestas que no están en tu lista de la columna J: revisá cómo están escritas.","Hay más categorías de las que entran en la tabla."),"")</f>
        <v/>
      </c>
      <c r="Z31" t="str">
        <f>TRIM(A31&amp;"")</f>
        <v>Primario completo</v>
      </c>
      <c r="AA31">
        <f>IF(Z31="","",IF(MATCH(SUBSTITUTE(SUBSTITUTE(SUBSTITUTE(Z31,"~","~~"),"*","~*"),"?","~?"),$Z$5:$Z$5004,0)=27,MAX($AA$4:AA30)+1,""))</f>
        <v>6.0</v>
      </c>
    </row>
    <row r="32" spans="1:27">
      <c r="A32" s="9" t="s">
        <v>17</v>
      </c>
      <c r="C32" s="7" t="s">
        <v>39</v>
      </c>
      <c r="Z32" t="str">
        <f>TRIM(A32&amp;"")</f>
        <v>Universitario incompleto</v>
      </c>
      <c r="AA32">
        <f>IF(Z32="","",IF(MATCH(SUBSTITUTE(SUBSTITUTE(SUBSTITUTE(Z32,"~","~~"),"*","~*"),"?","~?"),$Z$5:$Z$5004,0)=28,MAX($AA$4:AA31)+1,""))</f>
        <v/>
      </c>
    </row>
    <row r="33" spans="1:27">
      <c r="A33" s="9" t="s">
        <v>15</v>
      </c>
      <c r="Z33" t="str">
        <f>TRIM(A33&amp;"")</f>
        <v>Secundario completo</v>
      </c>
      <c r="AA33">
        <f>IF(Z33="","",IF(MATCH(SUBSTITUTE(SUBSTITUTE(SUBSTITUTE(Z33,"~","~~"),"*","~*"),"?","~?"),$Z$5:$Z$5004,0)=29,MAX($AA$4:AA32)+1,""))</f>
        <v/>
      </c>
    </row>
    <row r="34" spans="1:27">
      <c r="A34" s="9" t="s">
        <v>18</v>
      </c>
      <c r="C34" s="4" t="s">
        <v>40</v>
      </c>
      <c r="Z34" t="str">
        <f>TRIM(A34&amp;"")</f>
        <v>Universitario completo</v>
      </c>
      <c r="AA34">
        <f>IF(Z34="","",IF(MATCH(SUBSTITUTE(SUBSTITUTE(SUBSTITUTE(Z34,"~","~~"),"*","~*"),"?","~?"),$Z$5:$Z$5004,0)=30,MAX($AA$4:AA33)+1,""))</f>
        <v/>
      </c>
    </row>
    <row r="35" spans="1:27" ht="32" customHeight="1">
      <c r="A35" s="9" t="s">
        <v>15</v>
      </c>
      <c r="C35" s="3" t="str">
        <f>IF(fc_total=0,"","La categoría más frecuente fue «"&amp;INDEX($L$8:$L$27,MATCH(MAX($M$8:$M$27),$M$8:$M$27,0))&amp;"», con "&amp;MAX($M$8:$M$27)&amp;" de "&amp;fc_total&amp;" respuestas ("&amp;FIXED(100*MAX($M$8:$M$27)/fc_total,1,TRUE)&amp;" %)."&amp;IF(COUNTIF($M$8:$M$27,MAX($M$8:$M$27))&gt;1," Otras categorías la igualan en frecuencia.",""))</f>
        <v>La categoría más frecuente fue «Secundario completo», con 49 de 150 respuestas (32,7 %).</v>
      </c>
      <c r="D35" s="3"/>
      <c r="E35" s="3"/>
      <c r="F35" s="3"/>
      <c r="G35" s="3"/>
      <c r="H35" s="3"/>
      <c r="Z35" t="str">
        <f>TRIM(A35&amp;"")</f>
        <v>Secundario completo</v>
      </c>
      <c r="AA35">
        <f>IF(Z35="","",IF(MATCH(SUBSTITUTE(SUBSTITUTE(SUBSTITUTE(Z35,"~","~~"),"*","~*"),"?","~?"),$Z$5:$Z$5004,0)=31,MAX($AA$4:AA34)+1,""))</f>
        <v/>
      </c>
    </row>
    <row r="36" spans="1:27">
      <c r="A36" s="9" t="s">
        <v>20</v>
      </c>
      <c r="Z36" t="str">
        <f>TRIM(A36&amp;"")</f>
        <v>Primario completo</v>
      </c>
      <c r="AA36">
        <f>IF(Z36="","",IF(MATCH(SUBSTITUTE(SUBSTITUTE(SUBSTITUTE(Z36,"~","~~"),"*","~*"),"?","~?"),$Z$5:$Z$5004,0)=32,MAX($AA$4:AA35)+1,""))</f>
        <v/>
      </c>
    </row>
    <row r="37" spans="1:27">
      <c r="A37" s="9" t="s">
        <v>17</v>
      </c>
      <c r="Z37" t="str">
        <f>TRIM(A37&amp;"")</f>
        <v>Universitario incompleto</v>
      </c>
      <c r="AA37">
        <f>IF(Z37="","",IF(MATCH(SUBSTITUTE(SUBSTITUTE(SUBSTITUTE(Z37,"~","~~"),"*","~*"),"?","~?"),$Z$5:$Z$5004,0)=33,MAX($AA$4:AA36)+1,""))</f>
        <v/>
      </c>
    </row>
    <row r="38" spans="1:27">
      <c r="A38" s="9" t="s">
        <v>17</v>
      </c>
      <c r="Z38" t="str">
        <f>TRIM(A38&amp;"")</f>
        <v>Universitario incompleto</v>
      </c>
      <c r="AA38">
        <f>IF(Z38="","",IF(MATCH(SUBSTITUTE(SUBSTITUTE(SUBSTITUTE(Z38,"~","~~"),"*","~*"),"?","~?"),$Z$5:$Z$5004,0)=34,MAX($AA$4:AA37)+1,""))</f>
        <v/>
      </c>
    </row>
    <row r="39" spans="1:27">
      <c r="A39" s="9" t="s">
        <v>17</v>
      </c>
      <c r="Z39" t="str">
        <f>TRIM(A39&amp;"")</f>
        <v>Universitario incompleto</v>
      </c>
      <c r="AA39">
        <f>IF(Z39="","",IF(MATCH(SUBSTITUTE(SUBSTITUTE(SUBSTITUTE(Z39,"~","~~"),"*","~*"),"?","~?"),$Z$5:$Z$5004,0)=35,MAX($AA$4:AA38)+1,""))</f>
        <v/>
      </c>
    </row>
    <row r="40" spans="1:27">
      <c r="A40" s="9" t="s">
        <v>17</v>
      </c>
      <c r="Z40" t="str">
        <f>TRIM(A40&amp;"")</f>
        <v>Universitario incompleto</v>
      </c>
      <c r="AA40">
        <f>IF(Z40="","",IF(MATCH(SUBSTITUTE(SUBSTITUTE(SUBSTITUTE(Z40,"~","~~"),"*","~*"),"?","~?"),$Z$5:$Z$5004,0)=36,MAX($AA$4:AA39)+1,""))</f>
        <v/>
      </c>
    </row>
    <row r="41" spans="1:27">
      <c r="A41" s="9" t="s">
        <v>15</v>
      </c>
      <c r="Z41" t="str">
        <f>TRIM(A41&amp;"")</f>
        <v>Secundario completo</v>
      </c>
      <c r="AA41">
        <f>IF(Z41="","",IF(MATCH(SUBSTITUTE(SUBSTITUTE(SUBSTITUTE(Z41,"~","~~"),"*","~*"),"?","~?"),$Z$5:$Z$5004,0)=37,MAX($AA$4:AA40)+1,""))</f>
        <v/>
      </c>
    </row>
    <row r="42" spans="1:27">
      <c r="A42" s="9" t="s">
        <v>15</v>
      </c>
      <c r="Z42" t="str">
        <f>TRIM(A42&amp;"")</f>
        <v>Secundario completo</v>
      </c>
      <c r="AA42">
        <f>IF(Z42="","",IF(MATCH(SUBSTITUTE(SUBSTITUTE(SUBSTITUTE(Z42,"~","~~"),"*","~*"),"?","~?"),$Z$5:$Z$5004,0)=38,MAX($AA$4:AA41)+1,""))</f>
        <v/>
      </c>
    </row>
    <row r="43" spans="1:27">
      <c r="A43" s="9" t="s">
        <v>18</v>
      </c>
      <c r="Z43" t="str">
        <f>TRIM(A43&amp;"")</f>
        <v>Universitario completo</v>
      </c>
      <c r="AA43">
        <f>IF(Z43="","",IF(MATCH(SUBSTITUTE(SUBSTITUTE(SUBSTITUTE(Z43,"~","~~"),"*","~*"),"?","~?"),$Z$5:$Z$5004,0)=39,MAX($AA$4:AA42)+1,""))</f>
        <v/>
      </c>
    </row>
    <row r="44" spans="1:27">
      <c r="A44" s="9" t="s">
        <v>15</v>
      </c>
      <c r="Z44" t="str">
        <f>TRIM(A44&amp;"")</f>
        <v>Secundario completo</v>
      </c>
      <c r="AA44">
        <f>IF(Z44="","",IF(MATCH(SUBSTITUTE(SUBSTITUTE(SUBSTITUTE(Z44,"~","~~"),"*","~*"),"?","~?"),$Z$5:$Z$5004,0)=40,MAX($AA$4:AA43)+1,""))</f>
        <v/>
      </c>
    </row>
    <row r="45" spans="1:27">
      <c r="A45" s="9" t="s">
        <v>18</v>
      </c>
      <c r="Z45" t="str">
        <f>TRIM(A45&amp;"")</f>
        <v>Universitario completo</v>
      </c>
      <c r="AA45">
        <f>IF(Z45="","",IF(MATCH(SUBSTITUTE(SUBSTITUTE(SUBSTITUTE(Z45,"~","~~"),"*","~*"),"?","~?"),$Z$5:$Z$5004,0)=41,MAX($AA$4:AA44)+1,""))</f>
        <v/>
      </c>
    </row>
    <row r="46" spans="1:27">
      <c r="A46" s="9" t="s">
        <v>15</v>
      </c>
      <c r="Z46" t="str">
        <f>TRIM(A46&amp;"")</f>
        <v>Secundario completo</v>
      </c>
      <c r="AA46">
        <f>IF(Z46="","",IF(MATCH(SUBSTITUTE(SUBSTITUTE(SUBSTITUTE(Z46,"~","~~"),"*","~*"),"?","~?"),$Z$5:$Z$5004,0)=42,MAX($AA$4:AA45)+1,""))</f>
        <v/>
      </c>
    </row>
    <row r="47" spans="1:27">
      <c r="A47" s="9" t="s">
        <v>19</v>
      </c>
      <c r="Z47" t="str">
        <f>TRIM(A47&amp;"")</f>
        <v>Terciario completo</v>
      </c>
      <c r="AA47">
        <f>IF(Z47="","",IF(MATCH(SUBSTITUTE(SUBSTITUTE(SUBSTITUTE(Z47,"~","~~"),"*","~*"),"?","~?"),$Z$5:$Z$5004,0)=43,MAX($AA$4:AA46)+1,""))</f>
        <v/>
      </c>
    </row>
    <row r="48" spans="1:27">
      <c r="A48" s="9" t="s">
        <v>20</v>
      </c>
      <c r="Z48" t="str">
        <f>TRIM(A48&amp;"")</f>
        <v>Primario completo</v>
      </c>
      <c r="AA48">
        <f>IF(Z48="","",IF(MATCH(SUBSTITUTE(SUBSTITUTE(SUBSTITUTE(Z48,"~","~~"),"*","~*"),"?","~?"),$Z$5:$Z$5004,0)=44,MAX($AA$4:AA47)+1,""))</f>
        <v/>
      </c>
    </row>
    <row r="49" spans="1:27">
      <c r="A49" s="9" t="s">
        <v>18</v>
      </c>
      <c r="Z49" t="str">
        <f>TRIM(A49&amp;"")</f>
        <v>Universitario completo</v>
      </c>
      <c r="AA49">
        <f>IF(Z49="","",IF(MATCH(SUBSTITUTE(SUBSTITUTE(SUBSTITUTE(Z49,"~","~~"),"*","~*"),"?","~?"),$Z$5:$Z$5004,0)=45,MAX($AA$4:AA48)+1,""))</f>
        <v/>
      </c>
    </row>
    <row r="50" spans="1:27">
      <c r="A50" s="9" t="s">
        <v>18</v>
      </c>
      <c r="Z50" t="str">
        <f>TRIM(A50&amp;"")</f>
        <v>Universitario completo</v>
      </c>
      <c r="AA50">
        <f>IF(Z50="","",IF(MATCH(SUBSTITUTE(SUBSTITUTE(SUBSTITUTE(Z50,"~","~~"),"*","~*"),"?","~?"),$Z$5:$Z$5004,0)=46,MAX($AA$4:AA49)+1,""))</f>
        <v/>
      </c>
    </row>
    <row r="51" spans="1:27">
      <c r="A51" s="9" t="s">
        <v>16</v>
      </c>
      <c r="Z51" t="str">
        <f>TRIM(A51&amp;"")</f>
        <v>Secundario incompleto</v>
      </c>
      <c r="AA51">
        <f>IF(Z51="","",IF(MATCH(SUBSTITUTE(SUBSTITUTE(SUBSTITUTE(Z51,"~","~~"),"*","~*"),"?","~?"),$Z$5:$Z$5004,0)=47,MAX($AA$4:AA50)+1,""))</f>
        <v/>
      </c>
    </row>
    <row r="52" spans="1:27">
      <c r="A52" s="9" t="s">
        <v>16</v>
      </c>
      <c r="Z52" t="str">
        <f>TRIM(A52&amp;"")</f>
        <v>Secundario incompleto</v>
      </c>
      <c r="AA52">
        <f>IF(Z52="","",IF(MATCH(SUBSTITUTE(SUBSTITUTE(SUBSTITUTE(Z52,"~","~~"),"*","~*"),"?","~?"),$Z$5:$Z$5004,0)=48,MAX($AA$4:AA51)+1,""))</f>
        <v/>
      </c>
    </row>
    <row r="53" spans="1:27">
      <c r="A53" s="9" t="s">
        <v>15</v>
      </c>
      <c r="Z53" t="str">
        <f>TRIM(A53&amp;"")</f>
        <v>Secundario completo</v>
      </c>
      <c r="AA53">
        <f>IF(Z53="","",IF(MATCH(SUBSTITUTE(SUBSTITUTE(SUBSTITUTE(Z53,"~","~~"),"*","~*"),"?","~?"),$Z$5:$Z$5004,0)=49,MAX($AA$4:AA52)+1,""))</f>
        <v/>
      </c>
    </row>
    <row r="54" spans="1:27">
      <c r="A54" s="9" t="s">
        <v>17</v>
      </c>
      <c r="Z54" t="str">
        <f>TRIM(A54&amp;"")</f>
        <v>Universitario incompleto</v>
      </c>
      <c r="AA54">
        <f>IF(Z54="","",IF(MATCH(SUBSTITUTE(SUBSTITUTE(SUBSTITUTE(Z54,"~","~~"),"*","~*"),"?","~?"),$Z$5:$Z$5004,0)=50,MAX($AA$4:AA53)+1,""))</f>
        <v/>
      </c>
    </row>
    <row r="55" spans="1:27">
      <c r="A55" s="9" t="s">
        <v>18</v>
      </c>
      <c r="Z55" t="str">
        <f>TRIM(A55&amp;"")</f>
        <v>Universitario completo</v>
      </c>
      <c r="AA55">
        <f>IF(Z55="","",IF(MATCH(SUBSTITUTE(SUBSTITUTE(SUBSTITUTE(Z55,"~","~~"),"*","~*"),"?","~?"),$Z$5:$Z$5004,0)=51,MAX($AA$4:AA54)+1,""))</f>
        <v/>
      </c>
    </row>
    <row r="56" spans="1:27">
      <c r="A56" s="9" t="s">
        <v>15</v>
      </c>
      <c r="Z56" t="str">
        <f>TRIM(A56&amp;"")</f>
        <v>Secundario completo</v>
      </c>
      <c r="AA56">
        <f>IF(Z56="","",IF(MATCH(SUBSTITUTE(SUBSTITUTE(SUBSTITUTE(Z56,"~","~~"),"*","~*"),"?","~?"),$Z$5:$Z$5004,0)=52,MAX($AA$4:AA55)+1,""))</f>
        <v/>
      </c>
    </row>
    <row r="57" spans="1:27">
      <c r="A57" s="9" t="s">
        <v>20</v>
      </c>
      <c r="Z57" t="str">
        <f>TRIM(A57&amp;"")</f>
        <v>Primario completo</v>
      </c>
      <c r="AA57">
        <f>IF(Z57="","",IF(MATCH(SUBSTITUTE(SUBSTITUTE(SUBSTITUTE(Z57,"~","~~"),"*","~*"),"?","~?"),$Z$5:$Z$5004,0)=53,MAX($AA$4:AA56)+1,""))</f>
        <v/>
      </c>
    </row>
    <row r="58" spans="1:27">
      <c r="A58" s="9" t="s">
        <v>20</v>
      </c>
      <c r="Z58" t="str">
        <f>TRIM(A58&amp;"")</f>
        <v>Primario completo</v>
      </c>
      <c r="AA58">
        <f>IF(Z58="","",IF(MATCH(SUBSTITUTE(SUBSTITUTE(SUBSTITUTE(Z58,"~","~~"),"*","~*"),"?","~?"),$Z$5:$Z$5004,0)=54,MAX($AA$4:AA57)+1,""))</f>
        <v/>
      </c>
    </row>
    <row r="59" spans="1:27">
      <c r="A59" s="9" t="s">
        <v>17</v>
      </c>
      <c r="Z59" t="str">
        <f>TRIM(A59&amp;"")</f>
        <v>Universitario incompleto</v>
      </c>
      <c r="AA59">
        <f>IF(Z59="","",IF(MATCH(SUBSTITUTE(SUBSTITUTE(SUBSTITUTE(Z59,"~","~~"),"*","~*"),"?","~?"),$Z$5:$Z$5004,0)=55,MAX($AA$4:AA58)+1,""))</f>
        <v/>
      </c>
    </row>
    <row r="60" spans="1:27">
      <c r="A60" s="9" t="s">
        <v>17</v>
      </c>
      <c r="Z60" t="str">
        <f>TRIM(A60&amp;"")</f>
        <v>Universitario incompleto</v>
      </c>
      <c r="AA60">
        <f>IF(Z60="","",IF(MATCH(SUBSTITUTE(SUBSTITUTE(SUBSTITUTE(Z60,"~","~~"),"*","~*"),"?","~?"),$Z$5:$Z$5004,0)=56,MAX($AA$4:AA59)+1,""))</f>
        <v/>
      </c>
    </row>
    <row r="61" spans="1:27">
      <c r="A61" s="9" t="s">
        <v>17</v>
      </c>
      <c r="Z61" t="str">
        <f>TRIM(A61&amp;"")</f>
        <v>Universitario incompleto</v>
      </c>
      <c r="AA61">
        <f>IF(Z61="","",IF(MATCH(SUBSTITUTE(SUBSTITUTE(SUBSTITUTE(Z61,"~","~~"),"*","~*"),"?","~?"),$Z$5:$Z$5004,0)=57,MAX($AA$4:AA60)+1,""))</f>
        <v/>
      </c>
    </row>
    <row r="62" spans="1:27">
      <c r="A62" s="9" t="s">
        <v>17</v>
      </c>
      <c r="Z62" t="str">
        <f>TRIM(A62&amp;"")</f>
        <v>Universitario incompleto</v>
      </c>
      <c r="AA62">
        <f>IF(Z62="","",IF(MATCH(SUBSTITUTE(SUBSTITUTE(SUBSTITUTE(Z62,"~","~~"),"*","~*"),"?","~?"),$Z$5:$Z$5004,0)=58,MAX($AA$4:AA61)+1,""))</f>
        <v/>
      </c>
    </row>
    <row r="63" spans="1:27">
      <c r="A63" s="9" t="s">
        <v>19</v>
      </c>
      <c r="Z63" t="str">
        <f>TRIM(A63&amp;"")</f>
        <v>Terciario completo</v>
      </c>
      <c r="AA63">
        <f>IF(Z63="","",IF(MATCH(SUBSTITUTE(SUBSTITUTE(SUBSTITUTE(Z63,"~","~~"),"*","~*"),"?","~?"),$Z$5:$Z$5004,0)=59,MAX($AA$4:AA62)+1,""))</f>
        <v/>
      </c>
    </row>
    <row r="64" spans="1:27">
      <c r="A64" s="9" t="s">
        <v>17</v>
      </c>
      <c r="Z64" t="str">
        <f>TRIM(A64&amp;"")</f>
        <v>Universitario incompleto</v>
      </c>
      <c r="AA64">
        <f>IF(Z64="","",IF(MATCH(SUBSTITUTE(SUBSTITUTE(SUBSTITUTE(Z64,"~","~~"),"*","~*"),"?","~?"),$Z$5:$Z$5004,0)=60,MAX($AA$4:AA63)+1,""))</f>
        <v/>
      </c>
    </row>
    <row r="65" spans="1:27">
      <c r="A65" s="9" t="s">
        <v>15</v>
      </c>
      <c r="Z65" t="str">
        <f>TRIM(A65&amp;"")</f>
        <v>Secundario completo</v>
      </c>
      <c r="AA65">
        <f>IF(Z65="","",IF(MATCH(SUBSTITUTE(SUBSTITUTE(SUBSTITUTE(Z65,"~","~~"),"*","~*"),"?","~?"),$Z$5:$Z$5004,0)=61,MAX($AA$4:AA64)+1,""))</f>
        <v/>
      </c>
    </row>
    <row r="66" spans="1:27">
      <c r="A66" s="9" t="s">
        <v>15</v>
      </c>
      <c r="Z66" t="str">
        <f>TRIM(A66&amp;"")</f>
        <v>Secundario completo</v>
      </c>
      <c r="AA66">
        <f>IF(Z66="","",IF(MATCH(SUBSTITUTE(SUBSTITUTE(SUBSTITUTE(Z66,"~","~~"),"*","~*"),"?","~?"),$Z$5:$Z$5004,0)=62,MAX($AA$4:AA65)+1,""))</f>
        <v/>
      </c>
    </row>
    <row r="67" spans="1:27">
      <c r="A67" s="9" t="s">
        <v>16</v>
      </c>
      <c r="Z67" t="str">
        <f>TRIM(A67&amp;"")</f>
        <v>Secundario incompleto</v>
      </c>
      <c r="AA67">
        <f>IF(Z67="","",IF(MATCH(SUBSTITUTE(SUBSTITUTE(SUBSTITUTE(Z67,"~","~~"),"*","~*"),"?","~?"),$Z$5:$Z$5004,0)=63,MAX($AA$4:AA66)+1,""))</f>
        <v/>
      </c>
    </row>
    <row r="68" spans="1:27">
      <c r="A68" s="9" t="s">
        <v>19</v>
      </c>
      <c r="Z68" t="str">
        <f>TRIM(A68&amp;"")</f>
        <v>Terciario completo</v>
      </c>
      <c r="AA68">
        <f>IF(Z68="","",IF(MATCH(SUBSTITUTE(SUBSTITUTE(SUBSTITUTE(Z68,"~","~~"),"*","~*"),"?","~?"),$Z$5:$Z$5004,0)=64,MAX($AA$4:AA67)+1,""))</f>
        <v/>
      </c>
    </row>
    <row r="69" spans="1:27">
      <c r="A69" s="9" t="s">
        <v>17</v>
      </c>
      <c r="Z69" t="str">
        <f>TRIM(A69&amp;"")</f>
        <v>Universitario incompleto</v>
      </c>
      <c r="AA69">
        <f>IF(Z69="","",IF(MATCH(SUBSTITUTE(SUBSTITUTE(SUBSTITUTE(Z69,"~","~~"),"*","~*"),"?","~?"),$Z$5:$Z$5004,0)=65,MAX($AA$4:AA68)+1,""))</f>
        <v/>
      </c>
    </row>
    <row r="70" spans="1:27">
      <c r="A70" s="9" t="s">
        <v>17</v>
      </c>
      <c r="Z70" t="str">
        <f>TRIM(A70&amp;"")</f>
        <v>Universitario incompleto</v>
      </c>
      <c r="AA70">
        <f>IF(Z70="","",IF(MATCH(SUBSTITUTE(SUBSTITUTE(SUBSTITUTE(Z70,"~","~~"),"*","~*"),"?","~?"),$Z$5:$Z$5004,0)=66,MAX($AA$4:AA69)+1,""))</f>
        <v/>
      </c>
    </row>
    <row r="71" spans="1:27">
      <c r="A71" s="9" t="s">
        <v>17</v>
      </c>
      <c r="Z71" t="str">
        <f>TRIM(A71&amp;"")</f>
        <v>Universitario incompleto</v>
      </c>
      <c r="AA71">
        <f>IF(Z71="","",IF(MATCH(SUBSTITUTE(SUBSTITUTE(SUBSTITUTE(Z71,"~","~~"),"*","~*"),"?","~?"),$Z$5:$Z$5004,0)=67,MAX($AA$4:AA70)+1,""))</f>
        <v/>
      </c>
    </row>
    <row r="72" spans="1:27">
      <c r="A72" s="9" t="s">
        <v>18</v>
      </c>
      <c r="Z72" t="str">
        <f>TRIM(A72&amp;"")</f>
        <v>Universitario completo</v>
      </c>
      <c r="AA72">
        <f>IF(Z72="","",IF(MATCH(SUBSTITUTE(SUBSTITUTE(SUBSTITUTE(Z72,"~","~~"),"*","~*"),"?","~?"),$Z$5:$Z$5004,0)=68,MAX($AA$4:AA71)+1,""))</f>
        <v/>
      </c>
    </row>
    <row r="73" spans="1:27">
      <c r="A73" s="9" t="s">
        <v>15</v>
      </c>
      <c r="Z73" t="str">
        <f>TRIM(A73&amp;"")</f>
        <v>Secundario completo</v>
      </c>
      <c r="AA73">
        <f>IF(Z73="","",IF(MATCH(SUBSTITUTE(SUBSTITUTE(SUBSTITUTE(Z73,"~","~~"),"*","~*"),"?","~?"),$Z$5:$Z$5004,0)=69,MAX($AA$4:AA72)+1,""))</f>
        <v/>
      </c>
    </row>
    <row r="74" spans="1:27">
      <c r="A74" s="9" t="s">
        <v>16</v>
      </c>
      <c r="Z74" t="str">
        <f>TRIM(A74&amp;"")</f>
        <v>Secundario incompleto</v>
      </c>
      <c r="AA74">
        <f>IF(Z74="","",IF(MATCH(SUBSTITUTE(SUBSTITUTE(SUBSTITUTE(Z74,"~","~~"),"*","~*"),"?","~?"),$Z$5:$Z$5004,0)=70,MAX($AA$4:AA73)+1,""))</f>
        <v/>
      </c>
    </row>
    <row r="75" spans="1:27">
      <c r="A75" s="9" t="s">
        <v>17</v>
      </c>
      <c r="Z75" t="str">
        <f>TRIM(A75&amp;"")</f>
        <v>Universitario incompleto</v>
      </c>
      <c r="AA75">
        <f>IF(Z75="","",IF(MATCH(SUBSTITUTE(SUBSTITUTE(SUBSTITUTE(Z75,"~","~~"),"*","~*"),"?","~?"),$Z$5:$Z$5004,0)=71,MAX($AA$4:AA74)+1,""))</f>
        <v/>
      </c>
    </row>
    <row r="76" spans="1:27">
      <c r="A76" s="9" t="s">
        <v>16</v>
      </c>
      <c r="Z76" t="str">
        <f>TRIM(A76&amp;"")</f>
        <v>Secundario incompleto</v>
      </c>
      <c r="AA76">
        <f>IF(Z76="","",IF(MATCH(SUBSTITUTE(SUBSTITUTE(SUBSTITUTE(Z76,"~","~~"),"*","~*"),"?","~?"),$Z$5:$Z$5004,0)=72,MAX($AA$4:AA75)+1,""))</f>
        <v/>
      </c>
    </row>
    <row r="77" spans="1:27">
      <c r="A77" s="9" t="s">
        <v>15</v>
      </c>
      <c r="Z77" t="str">
        <f>TRIM(A77&amp;"")</f>
        <v>Secundario completo</v>
      </c>
      <c r="AA77">
        <f>IF(Z77="","",IF(MATCH(SUBSTITUTE(SUBSTITUTE(SUBSTITUTE(Z77,"~","~~"),"*","~*"),"?","~?"),$Z$5:$Z$5004,0)=73,MAX($AA$4:AA76)+1,""))</f>
        <v/>
      </c>
    </row>
    <row r="78" spans="1:27">
      <c r="A78" s="9" t="s">
        <v>15</v>
      </c>
      <c r="Z78" t="str">
        <f>TRIM(A78&amp;"")</f>
        <v>Secundario completo</v>
      </c>
      <c r="AA78">
        <f>IF(Z78="","",IF(MATCH(SUBSTITUTE(SUBSTITUTE(SUBSTITUTE(Z78,"~","~~"),"*","~*"),"?","~?"),$Z$5:$Z$5004,0)=74,MAX($AA$4:AA77)+1,""))</f>
        <v/>
      </c>
    </row>
    <row r="79" spans="1:27">
      <c r="A79" s="9" t="s">
        <v>17</v>
      </c>
      <c r="Z79" t="str">
        <f>TRIM(A79&amp;"")</f>
        <v>Universitario incompleto</v>
      </c>
      <c r="AA79">
        <f>IF(Z79="","",IF(MATCH(SUBSTITUTE(SUBSTITUTE(SUBSTITUTE(Z79,"~","~~"),"*","~*"),"?","~?"),$Z$5:$Z$5004,0)=75,MAX($AA$4:AA78)+1,""))</f>
        <v/>
      </c>
    </row>
    <row r="80" spans="1:27">
      <c r="A80" s="9" t="s">
        <v>20</v>
      </c>
      <c r="Z80" t="str">
        <f>TRIM(A80&amp;"")</f>
        <v>Primario completo</v>
      </c>
      <c r="AA80">
        <f>IF(Z80="","",IF(MATCH(SUBSTITUTE(SUBSTITUTE(SUBSTITUTE(Z80,"~","~~"),"*","~*"),"?","~?"),$Z$5:$Z$5004,0)=76,MAX($AA$4:AA79)+1,""))</f>
        <v/>
      </c>
    </row>
    <row r="81" spans="1:27">
      <c r="A81" s="9" t="s">
        <v>17</v>
      </c>
      <c r="Z81" t="str">
        <f>TRIM(A81&amp;"")</f>
        <v>Universitario incompleto</v>
      </c>
      <c r="AA81">
        <f>IF(Z81="","",IF(MATCH(SUBSTITUTE(SUBSTITUTE(SUBSTITUTE(Z81,"~","~~"),"*","~*"),"?","~?"),$Z$5:$Z$5004,0)=77,MAX($AA$4:AA80)+1,""))</f>
        <v/>
      </c>
    </row>
    <row r="82" spans="1:27">
      <c r="A82" s="9" t="s">
        <v>16</v>
      </c>
      <c r="Z82" t="str">
        <f>TRIM(A82&amp;"")</f>
        <v>Secundario incompleto</v>
      </c>
      <c r="AA82">
        <f>IF(Z82="","",IF(MATCH(SUBSTITUTE(SUBSTITUTE(SUBSTITUTE(Z82,"~","~~"),"*","~*"),"?","~?"),$Z$5:$Z$5004,0)=78,MAX($AA$4:AA81)+1,""))</f>
        <v/>
      </c>
    </row>
    <row r="83" spans="1:27">
      <c r="A83" s="9" t="s">
        <v>15</v>
      </c>
      <c r="Z83" t="str">
        <f>TRIM(A83&amp;"")</f>
        <v>Secundario completo</v>
      </c>
      <c r="AA83">
        <f>IF(Z83="","",IF(MATCH(SUBSTITUTE(SUBSTITUTE(SUBSTITUTE(Z83,"~","~~"),"*","~*"),"?","~?"),$Z$5:$Z$5004,0)=79,MAX($AA$4:AA82)+1,""))</f>
        <v/>
      </c>
    </row>
    <row r="84" spans="1:27">
      <c r="A84" s="9" t="s">
        <v>15</v>
      </c>
      <c r="Z84" t="str">
        <f>TRIM(A84&amp;"")</f>
        <v>Secundario completo</v>
      </c>
      <c r="AA84">
        <f>IF(Z84="","",IF(MATCH(SUBSTITUTE(SUBSTITUTE(SUBSTITUTE(Z84,"~","~~"),"*","~*"),"?","~?"),$Z$5:$Z$5004,0)=80,MAX($AA$4:AA83)+1,""))</f>
        <v/>
      </c>
    </row>
    <row r="85" spans="1:27">
      <c r="A85" s="9" t="s">
        <v>15</v>
      </c>
      <c r="Z85" t="str">
        <f>TRIM(A85&amp;"")</f>
        <v>Secundario completo</v>
      </c>
      <c r="AA85">
        <f>IF(Z85="","",IF(MATCH(SUBSTITUTE(SUBSTITUTE(SUBSTITUTE(Z85,"~","~~"),"*","~*"),"?","~?"),$Z$5:$Z$5004,0)=81,MAX($AA$4:AA84)+1,""))</f>
        <v/>
      </c>
    </row>
    <row r="86" spans="1:27">
      <c r="A86" s="9" t="s">
        <v>18</v>
      </c>
      <c r="Z86" t="str">
        <f>TRIM(A86&amp;"")</f>
        <v>Universitario completo</v>
      </c>
      <c r="AA86">
        <f>IF(Z86="","",IF(MATCH(SUBSTITUTE(SUBSTITUTE(SUBSTITUTE(Z86,"~","~~"),"*","~*"),"?","~?"),$Z$5:$Z$5004,0)=82,MAX($AA$4:AA85)+1,""))</f>
        <v/>
      </c>
    </row>
    <row r="87" spans="1:27">
      <c r="A87" s="9" t="s">
        <v>18</v>
      </c>
      <c r="Z87" t="str">
        <f>TRIM(A87&amp;"")</f>
        <v>Universitario completo</v>
      </c>
      <c r="AA87">
        <f>IF(Z87="","",IF(MATCH(SUBSTITUTE(SUBSTITUTE(SUBSTITUTE(Z87,"~","~~"),"*","~*"),"?","~?"),$Z$5:$Z$5004,0)=83,MAX($AA$4:AA86)+1,""))</f>
        <v/>
      </c>
    </row>
    <row r="88" spans="1:27">
      <c r="A88" s="9" t="s">
        <v>17</v>
      </c>
      <c r="Z88" t="str">
        <f>TRIM(A88&amp;"")</f>
        <v>Universitario incompleto</v>
      </c>
      <c r="AA88">
        <f>IF(Z88="","",IF(MATCH(SUBSTITUTE(SUBSTITUTE(SUBSTITUTE(Z88,"~","~~"),"*","~*"),"?","~?"),$Z$5:$Z$5004,0)=84,MAX($AA$4:AA87)+1,""))</f>
        <v/>
      </c>
    </row>
    <row r="89" spans="1:27">
      <c r="A89" s="9" t="s">
        <v>16</v>
      </c>
      <c r="Z89" t="str">
        <f>TRIM(A89&amp;"")</f>
        <v>Secundario incompleto</v>
      </c>
      <c r="AA89">
        <f>IF(Z89="","",IF(MATCH(SUBSTITUTE(SUBSTITUTE(SUBSTITUTE(Z89,"~","~~"),"*","~*"),"?","~?"),$Z$5:$Z$5004,0)=85,MAX($AA$4:AA88)+1,""))</f>
        <v/>
      </c>
    </row>
    <row r="90" spans="1:27">
      <c r="A90" s="9" t="s">
        <v>16</v>
      </c>
      <c r="Z90" t="str">
        <f>TRIM(A90&amp;"")</f>
        <v>Secundario incompleto</v>
      </c>
      <c r="AA90">
        <f>IF(Z90="","",IF(MATCH(SUBSTITUTE(SUBSTITUTE(SUBSTITUTE(Z90,"~","~~"),"*","~*"),"?","~?"),$Z$5:$Z$5004,0)=86,MAX($AA$4:AA89)+1,""))</f>
        <v/>
      </c>
    </row>
    <row r="91" spans="1:27">
      <c r="A91" s="9" t="s">
        <v>20</v>
      </c>
      <c r="Z91" t="str">
        <f>TRIM(A91&amp;"")</f>
        <v>Primario completo</v>
      </c>
      <c r="AA91">
        <f>IF(Z91="","",IF(MATCH(SUBSTITUTE(SUBSTITUTE(SUBSTITUTE(Z91,"~","~~"),"*","~*"),"?","~?"),$Z$5:$Z$5004,0)=87,MAX($AA$4:AA90)+1,""))</f>
        <v/>
      </c>
    </row>
    <row r="92" spans="1:27">
      <c r="A92" s="9" t="s">
        <v>20</v>
      </c>
      <c r="Z92" t="str">
        <f>TRIM(A92&amp;"")</f>
        <v>Primario completo</v>
      </c>
      <c r="AA92">
        <f>IF(Z92="","",IF(MATCH(SUBSTITUTE(SUBSTITUTE(SUBSTITUTE(Z92,"~","~~"),"*","~*"),"?","~?"),$Z$5:$Z$5004,0)=88,MAX($AA$4:AA91)+1,""))</f>
        <v/>
      </c>
    </row>
    <row r="93" spans="1:27">
      <c r="A93" s="9" t="s">
        <v>17</v>
      </c>
      <c r="Z93" t="str">
        <f>TRIM(A93&amp;"")</f>
        <v>Universitario incompleto</v>
      </c>
      <c r="AA93">
        <f>IF(Z93="","",IF(MATCH(SUBSTITUTE(SUBSTITUTE(SUBSTITUTE(Z93,"~","~~"),"*","~*"),"?","~?"),$Z$5:$Z$5004,0)=89,MAX($AA$4:AA92)+1,""))</f>
        <v/>
      </c>
    </row>
    <row r="94" spans="1:27">
      <c r="A94" s="9" t="s">
        <v>19</v>
      </c>
      <c r="Z94" t="str">
        <f>TRIM(A94&amp;"")</f>
        <v>Terciario completo</v>
      </c>
      <c r="AA94">
        <f>IF(Z94="","",IF(MATCH(SUBSTITUTE(SUBSTITUTE(SUBSTITUTE(Z94,"~","~~"),"*","~*"),"?","~?"),$Z$5:$Z$5004,0)=90,MAX($AA$4:AA93)+1,""))</f>
        <v/>
      </c>
    </row>
    <row r="95" spans="1:27">
      <c r="A95" s="9" t="s">
        <v>19</v>
      </c>
      <c r="Z95" t="str">
        <f>TRIM(A95&amp;"")</f>
        <v>Terciario completo</v>
      </c>
      <c r="AA95">
        <f>IF(Z95="","",IF(MATCH(SUBSTITUTE(SUBSTITUTE(SUBSTITUTE(Z95,"~","~~"),"*","~*"),"?","~?"),$Z$5:$Z$5004,0)=91,MAX($AA$4:AA94)+1,""))</f>
        <v/>
      </c>
    </row>
    <row r="96" spans="1:27">
      <c r="A96" s="9" t="s">
        <v>16</v>
      </c>
      <c r="Z96" t="str">
        <f>TRIM(A96&amp;"")</f>
        <v>Secundario incompleto</v>
      </c>
      <c r="AA96">
        <f>IF(Z96="","",IF(MATCH(SUBSTITUTE(SUBSTITUTE(SUBSTITUTE(Z96,"~","~~"),"*","~*"),"?","~?"),$Z$5:$Z$5004,0)=92,MAX($AA$4:AA95)+1,""))</f>
        <v/>
      </c>
    </row>
    <row r="97" spans="1:27">
      <c r="A97" s="9" t="s">
        <v>20</v>
      </c>
      <c r="Z97" t="str">
        <f>TRIM(A97&amp;"")</f>
        <v>Primario completo</v>
      </c>
      <c r="AA97">
        <f>IF(Z97="","",IF(MATCH(SUBSTITUTE(SUBSTITUTE(SUBSTITUTE(Z97,"~","~~"),"*","~*"),"?","~?"),$Z$5:$Z$5004,0)=93,MAX($AA$4:AA96)+1,""))</f>
        <v/>
      </c>
    </row>
    <row r="98" spans="1:27">
      <c r="A98" s="9" t="s">
        <v>17</v>
      </c>
      <c r="Z98" t="str">
        <f>TRIM(A98&amp;"")</f>
        <v>Universitario incompleto</v>
      </c>
      <c r="AA98">
        <f>IF(Z98="","",IF(MATCH(SUBSTITUTE(SUBSTITUTE(SUBSTITUTE(Z98,"~","~~"),"*","~*"),"?","~?"),$Z$5:$Z$5004,0)=94,MAX($AA$4:AA97)+1,""))</f>
        <v/>
      </c>
    </row>
    <row r="99" spans="1:27">
      <c r="A99" s="9" t="s">
        <v>17</v>
      </c>
      <c r="Z99" t="str">
        <f>TRIM(A99&amp;"")</f>
        <v>Universitario incompleto</v>
      </c>
      <c r="AA99">
        <f>IF(Z99="","",IF(MATCH(SUBSTITUTE(SUBSTITUTE(SUBSTITUTE(Z99,"~","~~"),"*","~*"),"?","~?"),$Z$5:$Z$5004,0)=95,MAX($AA$4:AA98)+1,""))</f>
        <v/>
      </c>
    </row>
    <row r="100" spans="1:27">
      <c r="A100" s="9" t="s">
        <v>15</v>
      </c>
      <c r="Z100" t="str">
        <f>TRIM(A100&amp;"")</f>
        <v>Secundario completo</v>
      </c>
      <c r="AA100">
        <f>IF(Z100="","",IF(MATCH(SUBSTITUTE(SUBSTITUTE(SUBSTITUTE(Z100,"~","~~"),"*","~*"),"?","~?"),$Z$5:$Z$5004,0)=96,MAX($AA$4:AA99)+1,""))</f>
        <v/>
      </c>
    </row>
    <row r="101" spans="1:27">
      <c r="A101" s="9" t="s">
        <v>18</v>
      </c>
      <c r="Z101" t="str">
        <f>TRIM(A101&amp;"")</f>
        <v>Universitario completo</v>
      </c>
      <c r="AA101">
        <f>IF(Z101="","",IF(MATCH(SUBSTITUTE(SUBSTITUTE(SUBSTITUTE(Z101,"~","~~"),"*","~*"),"?","~?"),$Z$5:$Z$5004,0)=97,MAX($AA$4:AA100)+1,""))</f>
        <v/>
      </c>
    </row>
    <row r="102" spans="1:27">
      <c r="A102" s="9" t="s">
        <v>15</v>
      </c>
      <c r="Z102" t="str">
        <f>TRIM(A102&amp;"")</f>
        <v>Secundario completo</v>
      </c>
      <c r="AA102">
        <f>IF(Z102="","",IF(MATCH(SUBSTITUTE(SUBSTITUTE(SUBSTITUTE(Z102,"~","~~"),"*","~*"),"?","~?"),$Z$5:$Z$5004,0)=98,MAX($AA$4:AA101)+1,""))</f>
        <v/>
      </c>
    </row>
    <row r="103" spans="1:27">
      <c r="A103" s="9" t="s">
        <v>15</v>
      </c>
      <c r="Z103" t="str">
        <f>TRIM(A103&amp;"")</f>
        <v>Secundario completo</v>
      </c>
      <c r="AA103">
        <f>IF(Z103="","",IF(MATCH(SUBSTITUTE(SUBSTITUTE(SUBSTITUTE(Z103,"~","~~"),"*","~*"),"?","~?"),$Z$5:$Z$5004,0)=99,MAX($AA$4:AA102)+1,""))</f>
        <v/>
      </c>
    </row>
    <row r="104" spans="1:27">
      <c r="A104" s="9" t="s">
        <v>18</v>
      </c>
      <c r="Z104" t="str">
        <f>TRIM(A104&amp;"")</f>
        <v>Universitario completo</v>
      </c>
      <c r="AA104">
        <f>IF(Z104="","",IF(MATCH(SUBSTITUTE(SUBSTITUTE(SUBSTITUTE(Z104,"~","~~"),"*","~*"),"?","~?"),$Z$5:$Z$5004,0)=100,MAX($AA$4:AA103)+1,""))</f>
        <v/>
      </c>
    </row>
    <row r="105" spans="1:27">
      <c r="A105" s="9" t="s">
        <v>18</v>
      </c>
      <c r="Z105" t="str">
        <f>TRIM(A105&amp;"")</f>
        <v>Universitario completo</v>
      </c>
      <c r="AA105">
        <f>IF(Z105="","",IF(MATCH(SUBSTITUTE(SUBSTITUTE(SUBSTITUTE(Z105,"~","~~"),"*","~*"),"?","~?"),$Z$5:$Z$5004,0)=101,MAX($AA$4:AA104)+1,""))</f>
        <v/>
      </c>
    </row>
    <row r="106" spans="1:27">
      <c r="A106" s="9" t="s">
        <v>17</v>
      </c>
      <c r="Z106" t="str">
        <f>TRIM(A106&amp;"")</f>
        <v>Universitario incompleto</v>
      </c>
      <c r="AA106">
        <f>IF(Z106="","",IF(MATCH(SUBSTITUTE(SUBSTITUTE(SUBSTITUTE(Z106,"~","~~"),"*","~*"),"?","~?"),$Z$5:$Z$5004,0)=102,MAX($AA$4:AA105)+1,""))</f>
        <v/>
      </c>
    </row>
    <row r="107" spans="1:27">
      <c r="A107" s="9" t="s">
        <v>18</v>
      </c>
      <c r="Z107" t="str">
        <f>TRIM(A107&amp;"")</f>
        <v>Universitario completo</v>
      </c>
      <c r="AA107">
        <f>IF(Z107="","",IF(MATCH(SUBSTITUTE(SUBSTITUTE(SUBSTITUTE(Z107,"~","~~"),"*","~*"),"?","~?"),$Z$5:$Z$5004,0)=103,MAX($AA$4:AA106)+1,""))</f>
        <v/>
      </c>
    </row>
    <row r="108" spans="1:27">
      <c r="A108" s="9" t="s">
        <v>15</v>
      </c>
      <c r="Z108" t="str">
        <f>TRIM(A108&amp;"")</f>
        <v>Secundario completo</v>
      </c>
      <c r="AA108">
        <f>IF(Z108="","",IF(MATCH(SUBSTITUTE(SUBSTITUTE(SUBSTITUTE(Z108,"~","~~"),"*","~*"),"?","~?"),$Z$5:$Z$5004,0)=104,MAX($AA$4:AA107)+1,""))</f>
        <v/>
      </c>
    </row>
    <row r="109" spans="1:27">
      <c r="A109" s="9" t="s">
        <v>15</v>
      </c>
      <c r="Z109" t="str">
        <f>TRIM(A109&amp;"")</f>
        <v>Secundario completo</v>
      </c>
      <c r="AA109">
        <f>IF(Z109="","",IF(MATCH(SUBSTITUTE(SUBSTITUTE(SUBSTITUTE(Z109,"~","~~"),"*","~*"),"?","~?"),$Z$5:$Z$5004,0)=105,MAX($AA$4:AA108)+1,""))</f>
        <v/>
      </c>
    </row>
    <row r="110" spans="1:27">
      <c r="A110" s="9" t="s">
        <v>15</v>
      </c>
      <c r="Z110" t="str">
        <f>TRIM(A110&amp;"")</f>
        <v>Secundario completo</v>
      </c>
      <c r="AA110">
        <f>IF(Z110="","",IF(MATCH(SUBSTITUTE(SUBSTITUTE(SUBSTITUTE(Z110,"~","~~"),"*","~*"),"?","~?"),$Z$5:$Z$5004,0)=106,MAX($AA$4:AA109)+1,""))</f>
        <v/>
      </c>
    </row>
    <row r="111" spans="1:27">
      <c r="A111" s="9" t="s">
        <v>17</v>
      </c>
      <c r="Z111" t="str">
        <f>TRIM(A111&amp;"")</f>
        <v>Universitario incompleto</v>
      </c>
      <c r="AA111">
        <f>IF(Z111="","",IF(MATCH(SUBSTITUTE(SUBSTITUTE(SUBSTITUTE(Z111,"~","~~"),"*","~*"),"?","~?"),$Z$5:$Z$5004,0)=107,MAX($AA$4:AA110)+1,""))</f>
        <v/>
      </c>
    </row>
    <row r="112" spans="1:27">
      <c r="A112" s="9" t="s">
        <v>15</v>
      </c>
      <c r="Z112" t="str">
        <f>TRIM(A112&amp;"")</f>
        <v>Secundario completo</v>
      </c>
      <c r="AA112">
        <f>IF(Z112="","",IF(MATCH(SUBSTITUTE(SUBSTITUTE(SUBSTITUTE(Z112,"~","~~"),"*","~*"),"?","~?"),$Z$5:$Z$5004,0)=108,MAX($AA$4:AA111)+1,""))</f>
        <v/>
      </c>
    </row>
    <row r="113" spans="1:27">
      <c r="A113" s="9" t="s">
        <v>15</v>
      </c>
      <c r="Z113" t="str">
        <f>TRIM(A113&amp;"")</f>
        <v>Secundario completo</v>
      </c>
      <c r="AA113">
        <f>IF(Z113="","",IF(MATCH(SUBSTITUTE(SUBSTITUTE(SUBSTITUTE(Z113,"~","~~"),"*","~*"),"?","~?"),$Z$5:$Z$5004,0)=109,MAX($AA$4:AA112)+1,""))</f>
        <v/>
      </c>
    </row>
    <row r="114" spans="1:27">
      <c r="A114" s="9" t="s">
        <v>15</v>
      </c>
      <c r="Z114" t="str">
        <f>TRIM(A114&amp;"")</f>
        <v>Secundario completo</v>
      </c>
      <c r="AA114">
        <f>IF(Z114="","",IF(MATCH(SUBSTITUTE(SUBSTITUTE(SUBSTITUTE(Z114,"~","~~"),"*","~*"),"?","~?"),$Z$5:$Z$5004,0)=110,MAX($AA$4:AA113)+1,""))</f>
        <v/>
      </c>
    </row>
    <row r="115" spans="1:27">
      <c r="A115" s="9" t="s">
        <v>20</v>
      </c>
      <c r="Z115" t="str">
        <f>TRIM(A115&amp;"")</f>
        <v>Primario completo</v>
      </c>
      <c r="AA115">
        <f>IF(Z115="","",IF(MATCH(SUBSTITUTE(SUBSTITUTE(SUBSTITUTE(Z115,"~","~~"),"*","~*"),"?","~?"),$Z$5:$Z$5004,0)=111,MAX($AA$4:AA114)+1,""))</f>
        <v/>
      </c>
    </row>
    <row r="116" spans="1:27">
      <c r="A116" s="9" t="s">
        <v>19</v>
      </c>
      <c r="Z116" t="str">
        <f>TRIM(A116&amp;"")</f>
        <v>Terciario completo</v>
      </c>
      <c r="AA116">
        <f>IF(Z116="","",IF(MATCH(SUBSTITUTE(SUBSTITUTE(SUBSTITUTE(Z116,"~","~~"),"*","~*"),"?","~?"),$Z$5:$Z$5004,0)=112,MAX($AA$4:AA115)+1,""))</f>
        <v/>
      </c>
    </row>
    <row r="117" spans="1:27">
      <c r="A117" s="9" t="s">
        <v>18</v>
      </c>
      <c r="Z117" t="str">
        <f>TRIM(A117&amp;"")</f>
        <v>Universitario completo</v>
      </c>
      <c r="AA117">
        <f>IF(Z117="","",IF(MATCH(SUBSTITUTE(SUBSTITUTE(SUBSTITUTE(Z117,"~","~~"),"*","~*"),"?","~?"),$Z$5:$Z$5004,0)=113,MAX($AA$4:AA116)+1,""))</f>
        <v/>
      </c>
    </row>
    <row r="118" spans="1:27">
      <c r="A118" s="9" t="s">
        <v>17</v>
      </c>
      <c r="Z118" t="str">
        <f>TRIM(A118&amp;"")</f>
        <v>Universitario incompleto</v>
      </c>
      <c r="AA118">
        <f>IF(Z118="","",IF(MATCH(SUBSTITUTE(SUBSTITUTE(SUBSTITUTE(Z118,"~","~~"),"*","~*"),"?","~?"),$Z$5:$Z$5004,0)=114,MAX($AA$4:AA117)+1,""))</f>
        <v/>
      </c>
    </row>
    <row r="119" spans="1:27">
      <c r="A119" s="9" t="s">
        <v>15</v>
      </c>
      <c r="Z119" t="str">
        <f>TRIM(A119&amp;"")</f>
        <v>Secundario completo</v>
      </c>
      <c r="AA119">
        <f>IF(Z119="","",IF(MATCH(SUBSTITUTE(SUBSTITUTE(SUBSTITUTE(Z119,"~","~~"),"*","~*"),"?","~?"),$Z$5:$Z$5004,0)=115,MAX($AA$4:AA118)+1,""))</f>
        <v/>
      </c>
    </row>
    <row r="120" spans="1:27">
      <c r="A120" s="9" t="s">
        <v>20</v>
      </c>
      <c r="Z120" t="str">
        <f>TRIM(A120&amp;"")</f>
        <v>Primario completo</v>
      </c>
      <c r="AA120">
        <f>IF(Z120="","",IF(MATCH(SUBSTITUTE(SUBSTITUTE(SUBSTITUTE(Z120,"~","~~"),"*","~*"),"?","~?"),$Z$5:$Z$5004,0)=116,MAX($AA$4:AA119)+1,""))</f>
        <v/>
      </c>
    </row>
    <row r="121" spans="1:27">
      <c r="A121" s="9" t="s">
        <v>17</v>
      </c>
      <c r="Z121" t="str">
        <f>TRIM(A121&amp;"")</f>
        <v>Universitario incompleto</v>
      </c>
      <c r="AA121">
        <f>IF(Z121="","",IF(MATCH(SUBSTITUTE(SUBSTITUTE(SUBSTITUTE(Z121,"~","~~"),"*","~*"),"?","~?"),$Z$5:$Z$5004,0)=117,MAX($AA$4:AA120)+1,""))</f>
        <v/>
      </c>
    </row>
    <row r="122" spans="1:27">
      <c r="A122" s="9" t="s">
        <v>16</v>
      </c>
      <c r="Z122" t="str">
        <f>TRIM(A122&amp;"")</f>
        <v>Secundario incompleto</v>
      </c>
      <c r="AA122">
        <f>IF(Z122="","",IF(MATCH(SUBSTITUTE(SUBSTITUTE(SUBSTITUTE(Z122,"~","~~"),"*","~*"),"?","~?"),$Z$5:$Z$5004,0)=118,MAX($AA$4:AA121)+1,""))</f>
        <v/>
      </c>
    </row>
    <row r="123" spans="1:27">
      <c r="A123" s="9" t="s">
        <v>15</v>
      </c>
      <c r="Z123" t="str">
        <f>TRIM(A123&amp;"")</f>
        <v>Secundario completo</v>
      </c>
      <c r="AA123">
        <f>IF(Z123="","",IF(MATCH(SUBSTITUTE(SUBSTITUTE(SUBSTITUTE(Z123,"~","~~"),"*","~*"),"?","~?"),$Z$5:$Z$5004,0)=119,MAX($AA$4:AA122)+1,""))</f>
        <v/>
      </c>
    </row>
    <row r="124" spans="1:27">
      <c r="A124" s="9" t="s">
        <v>15</v>
      </c>
      <c r="Z124" t="str">
        <f>TRIM(A124&amp;"")</f>
        <v>Secundario completo</v>
      </c>
      <c r="AA124">
        <f>IF(Z124="","",IF(MATCH(SUBSTITUTE(SUBSTITUTE(SUBSTITUTE(Z124,"~","~~"),"*","~*"),"?","~?"),$Z$5:$Z$5004,0)=120,MAX($AA$4:AA123)+1,""))</f>
        <v/>
      </c>
    </row>
    <row r="125" spans="1:27">
      <c r="A125" s="9" t="s">
        <v>18</v>
      </c>
      <c r="Z125" t="str">
        <f>TRIM(A125&amp;"")</f>
        <v>Universitario completo</v>
      </c>
      <c r="AA125">
        <f>IF(Z125="","",IF(MATCH(SUBSTITUTE(SUBSTITUTE(SUBSTITUTE(Z125,"~","~~"),"*","~*"),"?","~?"),$Z$5:$Z$5004,0)=121,MAX($AA$4:AA124)+1,""))</f>
        <v/>
      </c>
    </row>
    <row r="126" spans="1:27">
      <c r="A126" s="9" t="s">
        <v>18</v>
      </c>
      <c r="Z126" t="str">
        <f>TRIM(A126&amp;"")</f>
        <v>Universitario completo</v>
      </c>
      <c r="AA126">
        <f>IF(Z126="","",IF(MATCH(SUBSTITUTE(SUBSTITUTE(SUBSTITUTE(Z126,"~","~~"),"*","~*"),"?","~?"),$Z$5:$Z$5004,0)=122,MAX($AA$4:AA125)+1,""))</f>
        <v/>
      </c>
    </row>
    <row r="127" spans="1:27">
      <c r="A127" s="9" t="s">
        <v>20</v>
      </c>
      <c r="Z127" t="str">
        <f>TRIM(A127&amp;"")</f>
        <v>Primario completo</v>
      </c>
      <c r="AA127">
        <f>IF(Z127="","",IF(MATCH(SUBSTITUTE(SUBSTITUTE(SUBSTITUTE(Z127,"~","~~"),"*","~*"),"?","~?"),$Z$5:$Z$5004,0)=123,MAX($AA$4:AA126)+1,""))</f>
        <v/>
      </c>
    </row>
    <row r="128" spans="1:27">
      <c r="A128" s="9" t="s">
        <v>16</v>
      </c>
      <c r="Z128" t="str">
        <f>TRIM(A128&amp;"")</f>
        <v>Secundario incompleto</v>
      </c>
      <c r="AA128">
        <f>IF(Z128="","",IF(MATCH(SUBSTITUTE(SUBSTITUTE(SUBSTITUTE(Z128,"~","~~"),"*","~*"),"?","~?"),$Z$5:$Z$5004,0)=124,MAX($AA$4:AA127)+1,""))</f>
        <v/>
      </c>
    </row>
    <row r="129" spans="1:27">
      <c r="A129" s="9" t="s">
        <v>17</v>
      </c>
      <c r="Z129" t="str">
        <f>TRIM(A129&amp;"")</f>
        <v>Universitario incompleto</v>
      </c>
      <c r="AA129">
        <f>IF(Z129="","",IF(MATCH(SUBSTITUTE(SUBSTITUTE(SUBSTITUTE(Z129,"~","~~"),"*","~*"),"?","~?"),$Z$5:$Z$5004,0)=125,MAX($AA$4:AA128)+1,""))</f>
        <v/>
      </c>
    </row>
    <row r="130" spans="1:27">
      <c r="A130" s="9" t="s">
        <v>16</v>
      </c>
      <c r="Z130" t="str">
        <f>TRIM(A130&amp;"")</f>
        <v>Secundario incompleto</v>
      </c>
      <c r="AA130">
        <f>IF(Z130="","",IF(MATCH(SUBSTITUTE(SUBSTITUTE(SUBSTITUTE(Z130,"~","~~"),"*","~*"),"?","~?"),$Z$5:$Z$5004,0)=126,MAX($AA$4:AA129)+1,""))</f>
        <v/>
      </c>
    </row>
    <row r="131" spans="1:27">
      <c r="A131" s="9" t="s">
        <v>18</v>
      </c>
      <c r="Z131" t="str">
        <f>TRIM(A131&amp;"")</f>
        <v>Universitario completo</v>
      </c>
      <c r="AA131">
        <f>IF(Z131="","",IF(MATCH(SUBSTITUTE(SUBSTITUTE(SUBSTITUTE(Z131,"~","~~"),"*","~*"),"?","~?"),$Z$5:$Z$5004,0)=127,MAX($AA$4:AA130)+1,""))</f>
        <v/>
      </c>
    </row>
    <row r="132" spans="1:27">
      <c r="A132" s="9" t="s">
        <v>15</v>
      </c>
      <c r="Z132" t="str">
        <f>TRIM(A132&amp;"")</f>
        <v>Secundario completo</v>
      </c>
      <c r="AA132">
        <f>IF(Z132="","",IF(MATCH(SUBSTITUTE(SUBSTITUTE(SUBSTITUTE(Z132,"~","~~"),"*","~*"),"?","~?"),$Z$5:$Z$5004,0)=128,MAX($AA$4:AA131)+1,""))</f>
        <v/>
      </c>
    </row>
    <row r="133" spans="1:27">
      <c r="A133" s="9" t="s">
        <v>17</v>
      </c>
      <c r="Z133" t="str">
        <f>TRIM(A133&amp;"")</f>
        <v>Universitario incompleto</v>
      </c>
      <c r="AA133">
        <f>IF(Z133="","",IF(MATCH(SUBSTITUTE(SUBSTITUTE(SUBSTITUTE(Z133,"~","~~"),"*","~*"),"?","~?"),$Z$5:$Z$5004,0)=129,MAX($AA$4:AA132)+1,""))</f>
        <v/>
      </c>
    </row>
    <row r="134" spans="1:27">
      <c r="A134" s="9" t="s">
        <v>15</v>
      </c>
      <c r="Z134" t="str">
        <f>TRIM(A134&amp;"")</f>
        <v>Secundario completo</v>
      </c>
      <c r="AA134">
        <f>IF(Z134="","",IF(MATCH(SUBSTITUTE(SUBSTITUTE(SUBSTITUTE(Z134,"~","~~"),"*","~*"),"?","~?"),$Z$5:$Z$5004,0)=130,MAX($AA$4:AA133)+1,""))</f>
        <v/>
      </c>
    </row>
    <row r="135" spans="1:27">
      <c r="A135" s="9" t="s">
        <v>18</v>
      </c>
      <c r="Z135" t="str">
        <f>TRIM(A135&amp;"")</f>
        <v>Universitario completo</v>
      </c>
      <c r="AA135">
        <f>IF(Z135="","",IF(MATCH(SUBSTITUTE(SUBSTITUTE(SUBSTITUTE(Z135,"~","~~"),"*","~*"),"?","~?"),$Z$5:$Z$5004,0)=131,MAX($AA$4:AA134)+1,""))</f>
        <v/>
      </c>
    </row>
    <row r="136" spans="1:27">
      <c r="A136" s="9" t="s">
        <v>15</v>
      </c>
      <c r="Z136" t="str">
        <f>TRIM(A136&amp;"")</f>
        <v>Secundario completo</v>
      </c>
      <c r="AA136">
        <f>IF(Z136="","",IF(MATCH(SUBSTITUTE(SUBSTITUTE(SUBSTITUTE(Z136,"~","~~"),"*","~*"),"?","~?"),$Z$5:$Z$5004,0)=132,MAX($AA$4:AA135)+1,""))</f>
        <v/>
      </c>
    </row>
    <row r="137" spans="1:27">
      <c r="A137" s="9" t="s">
        <v>16</v>
      </c>
      <c r="Z137" t="str">
        <f>TRIM(A137&amp;"")</f>
        <v>Secundario incompleto</v>
      </c>
      <c r="AA137">
        <f>IF(Z137="","",IF(MATCH(SUBSTITUTE(SUBSTITUTE(SUBSTITUTE(Z137,"~","~~"),"*","~*"),"?","~?"),$Z$5:$Z$5004,0)=133,MAX($AA$4:AA136)+1,""))</f>
        <v/>
      </c>
    </row>
    <row r="138" spans="1:27">
      <c r="A138" s="9" t="s">
        <v>20</v>
      </c>
      <c r="Z138" t="str">
        <f>TRIM(A138&amp;"")</f>
        <v>Primario completo</v>
      </c>
      <c r="AA138">
        <f>IF(Z138="","",IF(MATCH(SUBSTITUTE(SUBSTITUTE(SUBSTITUTE(Z138,"~","~~"),"*","~*"),"?","~?"),$Z$5:$Z$5004,0)=134,MAX($AA$4:AA137)+1,""))</f>
        <v/>
      </c>
    </row>
    <row r="139" spans="1:27">
      <c r="A139" s="9" t="s">
        <v>15</v>
      </c>
      <c r="Z139" t="str">
        <f>TRIM(A139&amp;"")</f>
        <v>Secundario completo</v>
      </c>
      <c r="AA139">
        <f>IF(Z139="","",IF(MATCH(SUBSTITUTE(SUBSTITUTE(SUBSTITUTE(Z139,"~","~~"),"*","~*"),"?","~?"),$Z$5:$Z$5004,0)=135,MAX($AA$4:AA138)+1,""))</f>
        <v/>
      </c>
    </row>
    <row r="140" spans="1:27">
      <c r="A140" s="9" t="s">
        <v>16</v>
      </c>
      <c r="Z140" t="str">
        <f>TRIM(A140&amp;"")</f>
        <v>Secundario incompleto</v>
      </c>
      <c r="AA140">
        <f>IF(Z140="","",IF(MATCH(SUBSTITUTE(SUBSTITUTE(SUBSTITUTE(Z140,"~","~~"),"*","~*"),"?","~?"),$Z$5:$Z$5004,0)=136,MAX($AA$4:AA139)+1,""))</f>
        <v/>
      </c>
    </row>
    <row r="141" spans="1:27">
      <c r="A141" s="9" t="s">
        <v>16</v>
      </c>
      <c r="Z141" t="str">
        <f>TRIM(A141&amp;"")</f>
        <v>Secundario incompleto</v>
      </c>
      <c r="AA141">
        <f>IF(Z141="","",IF(MATCH(SUBSTITUTE(SUBSTITUTE(SUBSTITUTE(Z141,"~","~~"),"*","~*"),"?","~?"),$Z$5:$Z$5004,0)=137,MAX($AA$4:AA140)+1,""))</f>
        <v/>
      </c>
    </row>
    <row r="142" spans="1:27">
      <c r="A142" s="9" t="s">
        <v>18</v>
      </c>
      <c r="Z142" t="str">
        <f>TRIM(A142&amp;"")</f>
        <v>Universitario completo</v>
      </c>
      <c r="AA142">
        <f>IF(Z142="","",IF(MATCH(SUBSTITUTE(SUBSTITUTE(SUBSTITUTE(Z142,"~","~~"),"*","~*"),"?","~?"),$Z$5:$Z$5004,0)=138,MAX($AA$4:AA141)+1,""))</f>
        <v/>
      </c>
    </row>
    <row r="143" spans="1:27">
      <c r="A143" s="9" t="s">
        <v>16</v>
      </c>
      <c r="Z143" t="str">
        <f>TRIM(A143&amp;"")</f>
        <v>Secundario incompleto</v>
      </c>
      <c r="AA143">
        <f>IF(Z143="","",IF(MATCH(SUBSTITUTE(SUBSTITUTE(SUBSTITUTE(Z143,"~","~~"),"*","~*"),"?","~?"),$Z$5:$Z$5004,0)=139,MAX($AA$4:AA142)+1,""))</f>
        <v/>
      </c>
    </row>
    <row r="144" spans="1:27">
      <c r="A144" s="9" t="s">
        <v>15</v>
      </c>
      <c r="Z144" t="str">
        <f>TRIM(A144&amp;"")</f>
        <v>Secundario completo</v>
      </c>
      <c r="AA144">
        <f>IF(Z144="","",IF(MATCH(SUBSTITUTE(SUBSTITUTE(SUBSTITUTE(Z144,"~","~~"),"*","~*"),"?","~?"),$Z$5:$Z$5004,0)=140,MAX($AA$4:AA143)+1,""))</f>
        <v/>
      </c>
    </row>
    <row r="145" spans="1:27">
      <c r="A145" s="9" t="s">
        <v>17</v>
      </c>
      <c r="Z145" t="str">
        <f>TRIM(A145&amp;"")</f>
        <v>Universitario incompleto</v>
      </c>
      <c r="AA145">
        <f>IF(Z145="","",IF(MATCH(SUBSTITUTE(SUBSTITUTE(SUBSTITUTE(Z145,"~","~~"),"*","~*"),"?","~?"),$Z$5:$Z$5004,0)=141,MAX($AA$4:AA144)+1,""))</f>
        <v/>
      </c>
    </row>
    <row r="146" spans="1:27">
      <c r="A146" s="9" t="s">
        <v>20</v>
      </c>
      <c r="Z146" t="str">
        <f>TRIM(A146&amp;"")</f>
        <v>Primario completo</v>
      </c>
      <c r="AA146">
        <f>IF(Z146="","",IF(MATCH(SUBSTITUTE(SUBSTITUTE(SUBSTITUTE(Z146,"~","~~"),"*","~*"),"?","~?"),$Z$5:$Z$5004,0)=142,MAX($AA$4:AA145)+1,""))</f>
        <v/>
      </c>
    </row>
    <row r="147" spans="1:27">
      <c r="A147" s="9" t="s">
        <v>20</v>
      </c>
      <c r="Z147" t="str">
        <f>TRIM(A147&amp;"")</f>
        <v>Primario completo</v>
      </c>
      <c r="AA147">
        <f>IF(Z147="","",IF(MATCH(SUBSTITUTE(SUBSTITUTE(SUBSTITUTE(Z147,"~","~~"),"*","~*"),"?","~?"),$Z$5:$Z$5004,0)=143,MAX($AA$4:AA146)+1,""))</f>
        <v/>
      </c>
    </row>
    <row r="148" spans="1:27">
      <c r="A148" s="9" t="s">
        <v>15</v>
      </c>
      <c r="Z148" t="str">
        <f>TRIM(A148&amp;"")</f>
        <v>Secundario completo</v>
      </c>
      <c r="AA148">
        <f>IF(Z148="","",IF(MATCH(SUBSTITUTE(SUBSTITUTE(SUBSTITUTE(Z148,"~","~~"),"*","~*"),"?","~?"),$Z$5:$Z$5004,0)=144,MAX($AA$4:AA147)+1,""))</f>
        <v/>
      </c>
    </row>
    <row r="149" spans="1:27">
      <c r="A149" s="9" t="s">
        <v>15</v>
      </c>
      <c r="Z149" t="str">
        <f>TRIM(A149&amp;"")</f>
        <v>Secundario completo</v>
      </c>
      <c r="AA149">
        <f>IF(Z149="","",IF(MATCH(SUBSTITUTE(SUBSTITUTE(SUBSTITUTE(Z149,"~","~~"),"*","~*"),"?","~?"),$Z$5:$Z$5004,0)=145,MAX($AA$4:AA148)+1,""))</f>
        <v/>
      </c>
    </row>
    <row r="150" spans="1:27">
      <c r="A150" s="9" t="s">
        <v>15</v>
      </c>
      <c r="Z150" t="str">
        <f>TRIM(A150&amp;"")</f>
        <v>Secundario completo</v>
      </c>
      <c r="AA150">
        <f>IF(Z150="","",IF(MATCH(SUBSTITUTE(SUBSTITUTE(SUBSTITUTE(Z150,"~","~~"),"*","~*"),"?","~?"),$Z$5:$Z$5004,0)=146,MAX($AA$4:AA149)+1,""))</f>
        <v/>
      </c>
    </row>
    <row r="151" spans="1:27">
      <c r="A151" s="9" t="s">
        <v>15</v>
      </c>
      <c r="Z151" t="str">
        <f>TRIM(A151&amp;"")</f>
        <v>Secundario completo</v>
      </c>
      <c r="AA151">
        <f>IF(Z151="","",IF(MATCH(SUBSTITUTE(SUBSTITUTE(SUBSTITUTE(Z151,"~","~~"),"*","~*"),"?","~?"),$Z$5:$Z$5004,0)=147,MAX($AA$4:AA150)+1,""))</f>
        <v/>
      </c>
    </row>
    <row r="152" spans="1:27">
      <c r="A152" s="9" t="s">
        <v>17</v>
      </c>
      <c r="Z152" t="str">
        <f>TRIM(A152&amp;"")</f>
        <v>Universitario incompleto</v>
      </c>
      <c r="AA152">
        <f>IF(Z152="","",IF(MATCH(SUBSTITUTE(SUBSTITUTE(SUBSTITUTE(Z152,"~","~~"),"*","~*"),"?","~?"),$Z$5:$Z$5004,0)=148,MAX($AA$4:AA151)+1,""))</f>
        <v/>
      </c>
    </row>
    <row r="153" spans="1:27">
      <c r="A153" s="9" t="s">
        <v>15</v>
      </c>
      <c r="Z153" t="str">
        <f>TRIM(A153&amp;"")</f>
        <v>Secundario completo</v>
      </c>
      <c r="AA153">
        <f>IF(Z153="","",IF(MATCH(SUBSTITUTE(SUBSTITUTE(SUBSTITUTE(Z153,"~","~~"),"*","~*"),"?","~?"),$Z$5:$Z$5004,0)=149,MAX($AA$4:AA152)+1,""))</f>
        <v/>
      </c>
    </row>
    <row r="154" spans="1:27">
      <c r="A154" s="9" t="s">
        <v>18</v>
      </c>
      <c r="Z154" t="str">
        <f>TRIM(A154&amp;"")</f>
        <v>Universitario completo</v>
      </c>
      <c r="AA154">
        <f>IF(Z154="","",IF(MATCH(SUBSTITUTE(SUBSTITUTE(SUBSTITUTE(Z154,"~","~~"),"*","~*"),"?","~?"),$Z$5:$Z$5004,0)=150,MAX($AA$4:AA153)+1,""))</f>
        <v/>
      </c>
    </row>
    <row r="155" spans="1:27">
      <c r="A155" s="9"/>
      <c r="Z155">
        <f>TRIM(A155&amp;"")</f>
        <v/>
      </c>
      <c r="AA155">
        <f>IF(Z155="","",IF(MATCH(SUBSTITUTE(SUBSTITUTE(SUBSTITUTE(Z155,"~","~~"),"*","~*"),"?","~?"),$Z$5:$Z$5004,0)=151,MAX($AA$4:AA154)+1,""))</f>
        <v/>
      </c>
    </row>
    <row r="156" spans="1:27">
      <c r="A156" s="9"/>
      <c r="Z156">
        <f>TRIM(A156&amp;"")</f>
        <v/>
      </c>
      <c r="AA156">
        <f>IF(Z156="","",IF(MATCH(SUBSTITUTE(SUBSTITUTE(SUBSTITUTE(Z156,"~","~~"),"*","~*"),"?","~?"),$Z$5:$Z$5004,0)=152,MAX($AA$4:AA155)+1,""))</f>
        <v/>
      </c>
    </row>
    <row r="157" spans="1:27">
      <c r="A157" s="9"/>
      <c r="Z157">
        <f>TRIM(A157&amp;"")</f>
        <v/>
      </c>
      <c r="AA157">
        <f>IF(Z157="","",IF(MATCH(SUBSTITUTE(SUBSTITUTE(SUBSTITUTE(Z157,"~","~~"),"*","~*"),"?","~?"),$Z$5:$Z$5004,0)=153,MAX($AA$4:AA156)+1,""))</f>
        <v/>
      </c>
    </row>
    <row r="158" spans="1:27">
      <c r="A158" s="9"/>
      <c r="Z158">
        <f>TRIM(A158&amp;"")</f>
        <v/>
      </c>
      <c r="AA158">
        <f>IF(Z158="","",IF(MATCH(SUBSTITUTE(SUBSTITUTE(SUBSTITUTE(Z158,"~","~~"),"*","~*"),"?","~?"),$Z$5:$Z$5004,0)=154,MAX($AA$4:AA157)+1,""))</f>
        <v/>
      </c>
    </row>
    <row r="159" spans="1:27">
      <c r="A159" s="9"/>
      <c r="Z159">
        <f>TRIM(A159&amp;"")</f>
        <v/>
      </c>
      <c r="AA159">
        <f>IF(Z159="","",IF(MATCH(SUBSTITUTE(SUBSTITUTE(SUBSTITUTE(Z159,"~","~~"),"*","~*"),"?","~?"),$Z$5:$Z$5004,0)=155,MAX($AA$4:AA158)+1,""))</f>
        <v/>
      </c>
    </row>
    <row r="160" spans="1:27">
      <c r="A160" s="9"/>
      <c r="Z160">
        <f>TRIM(A160&amp;"")</f>
        <v/>
      </c>
      <c r="AA160">
        <f>IF(Z160="","",IF(MATCH(SUBSTITUTE(SUBSTITUTE(SUBSTITUTE(Z160,"~","~~"),"*","~*"),"?","~?"),$Z$5:$Z$5004,0)=156,MAX($AA$4:AA159)+1,""))</f>
        <v/>
      </c>
    </row>
    <row r="161" spans="1:27">
      <c r="A161" s="9"/>
      <c r="Z161">
        <f>TRIM(A161&amp;"")</f>
        <v/>
      </c>
      <c r="AA161">
        <f>IF(Z161="","",IF(MATCH(SUBSTITUTE(SUBSTITUTE(SUBSTITUTE(Z161,"~","~~"),"*","~*"),"?","~?"),$Z$5:$Z$5004,0)=157,MAX($AA$4:AA160)+1,""))</f>
        <v/>
      </c>
    </row>
    <row r="162" spans="1:27">
      <c r="A162" s="9"/>
      <c r="Z162">
        <f>TRIM(A162&amp;"")</f>
        <v/>
      </c>
      <c r="AA162">
        <f>IF(Z162="","",IF(MATCH(SUBSTITUTE(SUBSTITUTE(SUBSTITUTE(Z162,"~","~~"),"*","~*"),"?","~?"),$Z$5:$Z$5004,0)=158,MAX($AA$4:AA161)+1,""))</f>
        <v/>
      </c>
    </row>
    <row r="163" spans="1:27">
      <c r="A163" s="9"/>
      <c r="Z163">
        <f>TRIM(A163&amp;"")</f>
        <v/>
      </c>
      <c r="AA163">
        <f>IF(Z163="","",IF(MATCH(SUBSTITUTE(SUBSTITUTE(SUBSTITUTE(Z163,"~","~~"),"*","~*"),"?","~?"),$Z$5:$Z$5004,0)=159,MAX($AA$4:AA162)+1,""))</f>
        <v/>
      </c>
    </row>
    <row r="164" spans="1:27">
      <c r="A164" s="9"/>
      <c r="Z164">
        <f>TRIM(A164&amp;"")</f>
        <v/>
      </c>
      <c r="AA164">
        <f>IF(Z164="","",IF(MATCH(SUBSTITUTE(SUBSTITUTE(SUBSTITUTE(Z164,"~","~~"),"*","~*"),"?","~?"),$Z$5:$Z$5004,0)=160,MAX($AA$4:AA163)+1,""))</f>
        <v/>
      </c>
    </row>
    <row r="165" spans="1:27">
      <c r="A165" s="9"/>
      <c r="Z165">
        <f>TRIM(A165&amp;"")</f>
        <v/>
      </c>
      <c r="AA165">
        <f>IF(Z165="","",IF(MATCH(SUBSTITUTE(SUBSTITUTE(SUBSTITUTE(Z165,"~","~~"),"*","~*"),"?","~?"),$Z$5:$Z$5004,0)=161,MAX($AA$4:AA164)+1,""))</f>
        <v/>
      </c>
    </row>
    <row r="166" spans="1:27">
      <c r="A166" s="9"/>
      <c r="Z166">
        <f>TRIM(A166&amp;"")</f>
        <v/>
      </c>
      <c r="AA166">
        <f>IF(Z166="","",IF(MATCH(SUBSTITUTE(SUBSTITUTE(SUBSTITUTE(Z166,"~","~~"),"*","~*"),"?","~?"),$Z$5:$Z$5004,0)=162,MAX($AA$4:AA165)+1,""))</f>
        <v/>
      </c>
    </row>
    <row r="167" spans="1:27">
      <c r="A167" s="9"/>
      <c r="Z167">
        <f>TRIM(A167&amp;"")</f>
        <v/>
      </c>
      <c r="AA167">
        <f>IF(Z167="","",IF(MATCH(SUBSTITUTE(SUBSTITUTE(SUBSTITUTE(Z167,"~","~~"),"*","~*"),"?","~?"),$Z$5:$Z$5004,0)=163,MAX($AA$4:AA166)+1,""))</f>
        <v/>
      </c>
    </row>
    <row r="168" spans="1:27">
      <c r="A168" s="9"/>
      <c r="Z168">
        <f>TRIM(A168&amp;"")</f>
        <v/>
      </c>
      <c r="AA168">
        <f>IF(Z168="","",IF(MATCH(SUBSTITUTE(SUBSTITUTE(SUBSTITUTE(Z168,"~","~~"),"*","~*"),"?","~?"),$Z$5:$Z$5004,0)=164,MAX($AA$4:AA167)+1,""))</f>
        <v/>
      </c>
    </row>
    <row r="169" spans="1:27">
      <c r="A169" s="9"/>
      <c r="Z169">
        <f>TRIM(A169&amp;"")</f>
        <v/>
      </c>
      <c r="AA169">
        <f>IF(Z169="","",IF(MATCH(SUBSTITUTE(SUBSTITUTE(SUBSTITUTE(Z169,"~","~~"),"*","~*"),"?","~?"),$Z$5:$Z$5004,0)=165,MAX($AA$4:AA168)+1,""))</f>
        <v/>
      </c>
    </row>
    <row r="170" spans="1:27">
      <c r="A170" s="9"/>
      <c r="Z170">
        <f>TRIM(A170&amp;"")</f>
        <v/>
      </c>
      <c r="AA170">
        <f>IF(Z170="","",IF(MATCH(SUBSTITUTE(SUBSTITUTE(SUBSTITUTE(Z170,"~","~~"),"*","~*"),"?","~?"),$Z$5:$Z$5004,0)=166,MAX($AA$4:AA169)+1,""))</f>
        <v/>
      </c>
    </row>
    <row r="171" spans="1:27">
      <c r="A171" s="9"/>
      <c r="Z171">
        <f>TRIM(A171&amp;"")</f>
        <v/>
      </c>
      <c r="AA171">
        <f>IF(Z171="","",IF(MATCH(SUBSTITUTE(SUBSTITUTE(SUBSTITUTE(Z171,"~","~~"),"*","~*"),"?","~?"),$Z$5:$Z$5004,0)=167,MAX($AA$4:AA170)+1,""))</f>
        <v/>
      </c>
    </row>
    <row r="172" spans="1:27">
      <c r="A172" s="9"/>
      <c r="Z172">
        <f>TRIM(A172&amp;"")</f>
        <v/>
      </c>
      <c r="AA172">
        <f>IF(Z172="","",IF(MATCH(SUBSTITUTE(SUBSTITUTE(SUBSTITUTE(Z172,"~","~~"),"*","~*"),"?","~?"),$Z$5:$Z$5004,0)=168,MAX($AA$4:AA171)+1,""))</f>
        <v/>
      </c>
    </row>
    <row r="173" spans="1:27">
      <c r="A173" s="9"/>
      <c r="Z173">
        <f>TRIM(A173&amp;"")</f>
        <v/>
      </c>
      <c r="AA173">
        <f>IF(Z173="","",IF(MATCH(SUBSTITUTE(SUBSTITUTE(SUBSTITUTE(Z173,"~","~~"),"*","~*"),"?","~?"),$Z$5:$Z$5004,0)=169,MAX($AA$4:AA172)+1,""))</f>
        <v/>
      </c>
    </row>
    <row r="174" spans="1:27">
      <c r="A174" s="9"/>
      <c r="Z174">
        <f>TRIM(A174&amp;"")</f>
        <v/>
      </c>
      <c r="AA174">
        <f>IF(Z174="","",IF(MATCH(SUBSTITUTE(SUBSTITUTE(SUBSTITUTE(Z174,"~","~~"),"*","~*"),"?","~?"),$Z$5:$Z$5004,0)=170,MAX($AA$4:AA173)+1,""))</f>
        <v/>
      </c>
    </row>
    <row r="175" spans="1:27">
      <c r="A175" s="9"/>
      <c r="Z175">
        <f>TRIM(A175&amp;"")</f>
        <v/>
      </c>
      <c r="AA175">
        <f>IF(Z175="","",IF(MATCH(SUBSTITUTE(SUBSTITUTE(SUBSTITUTE(Z175,"~","~~"),"*","~*"),"?","~?"),$Z$5:$Z$5004,0)=171,MAX($AA$4:AA174)+1,""))</f>
        <v/>
      </c>
    </row>
    <row r="176" spans="1:27">
      <c r="A176" s="9"/>
      <c r="Z176">
        <f>TRIM(A176&amp;"")</f>
        <v/>
      </c>
      <c r="AA176">
        <f>IF(Z176="","",IF(MATCH(SUBSTITUTE(SUBSTITUTE(SUBSTITUTE(Z176,"~","~~"),"*","~*"),"?","~?"),$Z$5:$Z$5004,0)=172,MAX($AA$4:AA175)+1,""))</f>
        <v/>
      </c>
    </row>
    <row r="177" spans="1:27">
      <c r="A177" s="9"/>
      <c r="Z177">
        <f>TRIM(A177&amp;"")</f>
        <v/>
      </c>
      <c r="AA177">
        <f>IF(Z177="","",IF(MATCH(SUBSTITUTE(SUBSTITUTE(SUBSTITUTE(Z177,"~","~~"),"*","~*"),"?","~?"),$Z$5:$Z$5004,0)=173,MAX($AA$4:AA176)+1,""))</f>
        <v/>
      </c>
    </row>
    <row r="178" spans="1:27">
      <c r="A178" s="9"/>
      <c r="Z178">
        <f>TRIM(A178&amp;"")</f>
        <v/>
      </c>
      <c r="AA178">
        <f>IF(Z178="","",IF(MATCH(SUBSTITUTE(SUBSTITUTE(SUBSTITUTE(Z178,"~","~~"),"*","~*"),"?","~?"),$Z$5:$Z$5004,0)=174,MAX($AA$4:AA177)+1,""))</f>
        <v/>
      </c>
    </row>
    <row r="179" spans="1:27">
      <c r="A179" s="9"/>
      <c r="Z179">
        <f>TRIM(A179&amp;"")</f>
        <v/>
      </c>
      <c r="AA179">
        <f>IF(Z179="","",IF(MATCH(SUBSTITUTE(SUBSTITUTE(SUBSTITUTE(Z179,"~","~~"),"*","~*"),"?","~?"),$Z$5:$Z$5004,0)=175,MAX($AA$4:AA178)+1,""))</f>
        <v/>
      </c>
    </row>
    <row r="180" spans="1:27">
      <c r="A180" s="9"/>
      <c r="Z180">
        <f>TRIM(A180&amp;"")</f>
        <v/>
      </c>
      <c r="AA180">
        <f>IF(Z180="","",IF(MATCH(SUBSTITUTE(SUBSTITUTE(SUBSTITUTE(Z180,"~","~~"),"*","~*"),"?","~?"),$Z$5:$Z$5004,0)=176,MAX($AA$4:AA179)+1,""))</f>
        <v/>
      </c>
    </row>
    <row r="181" spans="1:27">
      <c r="A181" s="9"/>
      <c r="Z181">
        <f>TRIM(A181&amp;"")</f>
        <v/>
      </c>
      <c r="AA181">
        <f>IF(Z181="","",IF(MATCH(SUBSTITUTE(SUBSTITUTE(SUBSTITUTE(Z181,"~","~~"),"*","~*"),"?","~?"),$Z$5:$Z$5004,0)=177,MAX($AA$4:AA180)+1,""))</f>
        <v/>
      </c>
    </row>
    <row r="182" spans="1:27">
      <c r="A182" s="9"/>
      <c r="Z182">
        <f>TRIM(A182&amp;"")</f>
        <v/>
      </c>
      <c r="AA182">
        <f>IF(Z182="","",IF(MATCH(SUBSTITUTE(SUBSTITUTE(SUBSTITUTE(Z182,"~","~~"),"*","~*"),"?","~?"),$Z$5:$Z$5004,0)=178,MAX($AA$4:AA181)+1,""))</f>
        <v/>
      </c>
    </row>
    <row r="183" spans="1:27">
      <c r="A183" s="9"/>
      <c r="Z183">
        <f>TRIM(A183&amp;"")</f>
        <v/>
      </c>
      <c r="AA183">
        <f>IF(Z183="","",IF(MATCH(SUBSTITUTE(SUBSTITUTE(SUBSTITUTE(Z183,"~","~~"),"*","~*"),"?","~?"),$Z$5:$Z$5004,0)=179,MAX($AA$4:AA182)+1,""))</f>
        <v/>
      </c>
    </row>
    <row r="184" spans="1:27">
      <c r="A184" s="9"/>
      <c r="Z184">
        <f>TRIM(A184&amp;"")</f>
        <v/>
      </c>
      <c r="AA184">
        <f>IF(Z184="","",IF(MATCH(SUBSTITUTE(SUBSTITUTE(SUBSTITUTE(Z184,"~","~~"),"*","~*"),"?","~?"),$Z$5:$Z$5004,0)=180,MAX($AA$4:AA183)+1,""))</f>
        <v/>
      </c>
    </row>
    <row r="185" spans="1:27">
      <c r="A185" s="9"/>
      <c r="Z185">
        <f>TRIM(A185&amp;"")</f>
        <v/>
      </c>
      <c r="AA185">
        <f>IF(Z185="","",IF(MATCH(SUBSTITUTE(SUBSTITUTE(SUBSTITUTE(Z185,"~","~~"),"*","~*"),"?","~?"),$Z$5:$Z$5004,0)=181,MAX($AA$4:AA184)+1,""))</f>
        <v/>
      </c>
    </row>
    <row r="186" spans="1:27">
      <c r="A186" s="9"/>
      <c r="Z186">
        <f>TRIM(A186&amp;"")</f>
        <v/>
      </c>
      <c r="AA186">
        <f>IF(Z186="","",IF(MATCH(SUBSTITUTE(SUBSTITUTE(SUBSTITUTE(Z186,"~","~~"),"*","~*"),"?","~?"),$Z$5:$Z$5004,0)=182,MAX($AA$4:AA185)+1,""))</f>
        <v/>
      </c>
    </row>
    <row r="187" spans="1:27">
      <c r="A187" s="9"/>
      <c r="Z187">
        <f>TRIM(A187&amp;"")</f>
        <v/>
      </c>
      <c r="AA187">
        <f>IF(Z187="","",IF(MATCH(SUBSTITUTE(SUBSTITUTE(SUBSTITUTE(Z187,"~","~~"),"*","~*"),"?","~?"),$Z$5:$Z$5004,0)=183,MAX($AA$4:AA186)+1,""))</f>
        <v/>
      </c>
    </row>
    <row r="188" spans="1:27">
      <c r="A188" s="9"/>
      <c r="Z188">
        <f>TRIM(A188&amp;"")</f>
        <v/>
      </c>
      <c r="AA188">
        <f>IF(Z188="","",IF(MATCH(SUBSTITUTE(SUBSTITUTE(SUBSTITUTE(Z188,"~","~~"),"*","~*"),"?","~?"),$Z$5:$Z$5004,0)=184,MAX($AA$4:AA187)+1,""))</f>
        <v/>
      </c>
    </row>
    <row r="189" spans="1:27">
      <c r="A189" s="9"/>
      <c r="Z189">
        <f>TRIM(A189&amp;"")</f>
        <v/>
      </c>
      <c r="AA189">
        <f>IF(Z189="","",IF(MATCH(SUBSTITUTE(SUBSTITUTE(SUBSTITUTE(Z189,"~","~~"),"*","~*"),"?","~?"),$Z$5:$Z$5004,0)=185,MAX($AA$4:AA188)+1,""))</f>
        <v/>
      </c>
    </row>
    <row r="190" spans="1:27">
      <c r="A190" s="9"/>
      <c r="Z190">
        <f>TRIM(A190&amp;"")</f>
        <v/>
      </c>
      <c r="AA190">
        <f>IF(Z190="","",IF(MATCH(SUBSTITUTE(SUBSTITUTE(SUBSTITUTE(Z190,"~","~~"),"*","~*"),"?","~?"),$Z$5:$Z$5004,0)=186,MAX($AA$4:AA189)+1,""))</f>
        <v/>
      </c>
    </row>
    <row r="191" spans="1:27">
      <c r="A191" s="9"/>
      <c r="Z191">
        <f>TRIM(A191&amp;"")</f>
        <v/>
      </c>
      <c r="AA191">
        <f>IF(Z191="","",IF(MATCH(SUBSTITUTE(SUBSTITUTE(SUBSTITUTE(Z191,"~","~~"),"*","~*"),"?","~?"),$Z$5:$Z$5004,0)=187,MAX($AA$4:AA190)+1,""))</f>
        <v/>
      </c>
    </row>
    <row r="192" spans="1:27">
      <c r="A192" s="9"/>
      <c r="Z192">
        <f>TRIM(A192&amp;"")</f>
        <v/>
      </c>
      <c r="AA192">
        <f>IF(Z192="","",IF(MATCH(SUBSTITUTE(SUBSTITUTE(SUBSTITUTE(Z192,"~","~~"),"*","~*"),"?","~?"),$Z$5:$Z$5004,0)=188,MAX($AA$4:AA191)+1,""))</f>
        <v/>
      </c>
    </row>
    <row r="193" spans="1:27">
      <c r="A193" s="9"/>
      <c r="Z193">
        <f>TRIM(A193&amp;"")</f>
        <v/>
      </c>
      <c r="AA193">
        <f>IF(Z193="","",IF(MATCH(SUBSTITUTE(SUBSTITUTE(SUBSTITUTE(Z193,"~","~~"),"*","~*"),"?","~?"),$Z$5:$Z$5004,0)=189,MAX($AA$4:AA192)+1,""))</f>
        <v/>
      </c>
    </row>
    <row r="194" spans="1:27">
      <c r="A194" s="9"/>
      <c r="Z194">
        <f>TRIM(A194&amp;"")</f>
        <v/>
      </c>
      <c r="AA194">
        <f>IF(Z194="","",IF(MATCH(SUBSTITUTE(SUBSTITUTE(SUBSTITUTE(Z194,"~","~~"),"*","~*"),"?","~?"),$Z$5:$Z$5004,0)=190,MAX($AA$4:AA193)+1,""))</f>
        <v/>
      </c>
    </row>
    <row r="195" spans="1:27">
      <c r="A195" s="9"/>
      <c r="Z195">
        <f>TRIM(A195&amp;"")</f>
        <v/>
      </c>
      <c r="AA195">
        <f>IF(Z195="","",IF(MATCH(SUBSTITUTE(SUBSTITUTE(SUBSTITUTE(Z195,"~","~~"),"*","~*"),"?","~?"),$Z$5:$Z$5004,0)=191,MAX($AA$4:AA194)+1,""))</f>
        <v/>
      </c>
    </row>
    <row r="196" spans="1:27">
      <c r="A196" s="9"/>
      <c r="Z196">
        <f>TRIM(A196&amp;"")</f>
        <v/>
      </c>
      <c r="AA196">
        <f>IF(Z196="","",IF(MATCH(SUBSTITUTE(SUBSTITUTE(SUBSTITUTE(Z196,"~","~~"),"*","~*"),"?","~?"),$Z$5:$Z$5004,0)=192,MAX($AA$4:AA195)+1,""))</f>
        <v/>
      </c>
    </row>
    <row r="197" spans="1:27">
      <c r="A197" s="9"/>
      <c r="Z197">
        <f>TRIM(A197&amp;"")</f>
        <v/>
      </c>
      <c r="AA197">
        <f>IF(Z197="","",IF(MATCH(SUBSTITUTE(SUBSTITUTE(SUBSTITUTE(Z197,"~","~~"),"*","~*"),"?","~?"),$Z$5:$Z$5004,0)=193,MAX($AA$4:AA196)+1,""))</f>
        <v/>
      </c>
    </row>
    <row r="198" spans="1:27">
      <c r="A198" s="9"/>
      <c r="Z198">
        <f>TRIM(A198&amp;"")</f>
        <v/>
      </c>
      <c r="AA198">
        <f>IF(Z198="","",IF(MATCH(SUBSTITUTE(SUBSTITUTE(SUBSTITUTE(Z198,"~","~~"),"*","~*"),"?","~?"),$Z$5:$Z$5004,0)=194,MAX($AA$4:AA197)+1,""))</f>
        <v/>
      </c>
    </row>
    <row r="199" spans="1:27">
      <c r="A199" s="9"/>
      <c r="Z199">
        <f>TRIM(A199&amp;"")</f>
        <v/>
      </c>
      <c r="AA199">
        <f>IF(Z199="","",IF(MATCH(SUBSTITUTE(SUBSTITUTE(SUBSTITUTE(Z199,"~","~~"),"*","~*"),"?","~?"),$Z$5:$Z$5004,0)=195,MAX($AA$4:AA198)+1,""))</f>
        <v/>
      </c>
    </row>
    <row r="200" spans="1:27">
      <c r="A200" s="9"/>
      <c r="Z200">
        <f>TRIM(A200&amp;"")</f>
        <v/>
      </c>
      <c r="AA200">
        <f>IF(Z200="","",IF(MATCH(SUBSTITUTE(SUBSTITUTE(SUBSTITUTE(Z200,"~","~~"),"*","~*"),"?","~?"),$Z$5:$Z$5004,0)=196,MAX($AA$4:AA199)+1,""))</f>
        <v/>
      </c>
    </row>
    <row r="201" spans="1:27">
      <c r="A201" s="9"/>
      <c r="Z201">
        <f>TRIM(A201&amp;"")</f>
        <v/>
      </c>
      <c r="AA201">
        <f>IF(Z201="","",IF(MATCH(SUBSTITUTE(SUBSTITUTE(SUBSTITUTE(Z201,"~","~~"),"*","~*"),"?","~?"),$Z$5:$Z$5004,0)=197,MAX($AA$4:AA200)+1,""))</f>
        <v/>
      </c>
    </row>
    <row r="202" spans="1:27">
      <c r="A202" s="9"/>
      <c r="Z202">
        <f>TRIM(A202&amp;"")</f>
        <v/>
      </c>
      <c r="AA202">
        <f>IF(Z202="","",IF(MATCH(SUBSTITUTE(SUBSTITUTE(SUBSTITUTE(Z202,"~","~~"),"*","~*"),"?","~?"),$Z$5:$Z$5004,0)=198,MAX($AA$4:AA201)+1,""))</f>
        <v/>
      </c>
    </row>
    <row r="203" spans="1:27">
      <c r="A203" s="9"/>
      <c r="Z203">
        <f>TRIM(A203&amp;"")</f>
        <v/>
      </c>
      <c r="AA203">
        <f>IF(Z203="","",IF(MATCH(SUBSTITUTE(SUBSTITUTE(SUBSTITUTE(Z203,"~","~~"),"*","~*"),"?","~?"),$Z$5:$Z$5004,0)=199,MAX($AA$4:AA202)+1,""))</f>
        <v/>
      </c>
    </row>
    <row r="204" spans="1:27">
      <c r="A204" s="9"/>
      <c r="Z204">
        <f>TRIM(A204&amp;"")</f>
        <v/>
      </c>
      <c r="AA204">
        <f>IF(Z204="","",IF(MATCH(SUBSTITUTE(SUBSTITUTE(SUBSTITUTE(Z204,"~","~~"),"*","~*"),"?","~?"),$Z$5:$Z$5004,0)=200,MAX($AA$4:AA203)+1,""))</f>
        <v/>
      </c>
    </row>
    <row r="205" spans="1:27">
      <c r="A205" s="9"/>
      <c r="Z205">
        <f>TRIM(A205&amp;"")</f>
        <v/>
      </c>
      <c r="AA205">
        <f>IF(Z205="","",IF(MATCH(SUBSTITUTE(SUBSTITUTE(SUBSTITUTE(Z205,"~","~~"),"*","~*"),"?","~?"),$Z$5:$Z$5004,0)=201,MAX($AA$4:AA204)+1,""))</f>
        <v/>
      </c>
    </row>
    <row r="206" spans="1:27">
      <c r="A206" s="9"/>
      <c r="Z206">
        <f>TRIM(A206&amp;"")</f>
        <v/>
      </c>
      <c r="AA206">
        <f>IF(Z206="","",IF(MATCH(SUBSTITUTE(SUBSTITUTE(SUBSTITUTE(Z206,"~","~~"),"*","~*"),"?","~?"),$Z$5:$Z$5004,0)=202,MAX($AA$4:AA205)+1,""))</f>
        <v/>
      </c>
    </row>
    <row r="207" spans="1:27">
      <c r="A207" s="9"/>
      <c r="Z207">
        <f>TRIM(A207&amp;"")</f>
        <v/>
      </c>
      <c r="AA207">
        <f>IF(Z207="","",IF(MATCH(SUBSTITUTE(SUBSTITUTE(SUBSTITUTE(Z207,"~","~~"),"*","~*"),"?","~?"),$Z$5:$Z$5004,0)=203,MAX($AA$4:AA206)+1,""))</f>
        <v/>
      </c>
    </row>
    <row r="208" spans="1:27">
      <c r="A208" s="9"/>
      <c r="Z208">
        <f>TRIM(A208&amp;"")</f>
        <v/>
      </c>
      <c r="AA208">
        <f>IF(Z208="","",IF(MATCH(SUBSTITUTE(SUBSTITUTE(SUBSTITUTE(Z208,"~","~~"),"*","~*"),"?","~?"),$Z$5:$Z$5004,0)=204,MAX($AA$4:AA207)+1,""))</f>
        <v/>
      </c>
    </row>
    <row r="209" spans="1:27">
      <c r="A209" s="9"/>
      <c r="Z209">
        <f>TRIM(A209&amp;"")</f>
        <v/>
      </c>
      <c r="AA209">
        <f>IF(Z209="","",IF(MATCH(SUBSTITUTE(SUBSTITUTE(SUBSTITUTE(Z209,"~","~~"),"*","~*"),"?","~?"),$Z$5:$Z$5004,0)=205,MAX($AA$4:AA208)+1,""))</f>
        <v/>
      </c>
    </row>
    <row r="210" spans="1:27">
      <c r="A210" s="9"/>
      <c r="Z210">
        <f>TRIM(A210&amp;"")</f>
        <v/>
      </c>
      <c r="AA210">
        <f>IF(Z210="","",IF(MATCH(SUBSTITUTE(SUBSTITUTE(SUBSTITUTE(Z210,"~","~~"),"*","~*"),"?","~?"),$Z$5:$Z$5004,0)=206,MAX($AA$4:AA209)+1,""))</f>
        <v/>
      </c>
    </row>
    <row r="211" spans="1:27">
      <c r="A211" s="9"/>
      <c r="Z211">
        <f>TRIM(A211&amp;"")</f>
        <v/>
      </c>
      <c r="AA211">
        <f>IF(Z211="","",IF(MATCH(SUBSTITUTE(SUBSTITUTE(SUBSTITUTE(Z211,"~","~~"),"*","~*"),"?","~?"),$Z$5:$Z$5004,0)=207,MAX($AA$4:AA210)+1,""))</f>
        <v/>
      </c>
    </row>
    <row r="212" spans="1:27">
      <c r="A212" s="9"/>
      <c r="Z212">
        <f>TRIM(A212&amp;"")</f>
        <v/>
      </c>
      <c r="AA212">
        <f>IF(Z212="","",IF(MATCH(SUBSTITUTE(SUBSTITUTE(SUBSTITUTE(Z212,"~","~~"),"*","~*"),"?","~?"),$Z$5:$Z$5004,0)=208,MAX($AA$4:AA211)+1,""))</f>
        <v/>
      </c>
    </row>
    <row r="213" spans="1:27">
      <c r="A213" s="9"/>
      <c r="Z213">
        <f>TRIM(A213&amp;"")</f>
        <v/>
      </c>
      <c r="AA213">
        <f>IF(Z213="","",IF(MATCH(SUBSTITUTE(SUBSTITUTE(SUBSTITUTE(Z213,"~","~~"),"*","~*"),"?","~?"),$Z$5:$Z$5004,0)=209,MAX($AA$4:AA212)+1,""))</f>
        <v/>
      </c>
    </row>
    <row r="214" spans="1:27">
      <c r="A214" s="9"/>
      <c r="Z214">
        <f>TRIM(A214&amp;"")</f>
        <v/>
      </c>
      <c r="AA214">
        <f>IF(Z214="","",IF(MATCH(SUBSTITUTE(SUBSTITUTE(SUBSTITUTE(Z214,"~","~~"),"*","~*"),"?","~?"),$Z$5:$Z$5004,0)=210,MAX($AA$4:AA213)+1,""))</f>
        <v/>
      </c>
    </row>
    <row r="215" spans="1:27">
      <c r="A215" s="9"/>
      <c r="Z215">
        <f>TRIM(A215&amp;"")</f>
        <v/>
      </c>
      <c r="AA215">
        <f>IF(Z215="","",IF(MATCH(SUBSTITUTE(SUBSTITUTE(SUBSTITUTE(Z215,"~","~~"),"*","~*"),"?","~?"),$Z$5:$Z$5004,0)=211,MAX($AA$4:AA214)+1,""))</f>
        <v/>
      </c>
    </row>
    <row r="216" spans="1:27">
      <c r="A216" s="9"/>
      <c r="Z216">
        <f>TRIM(A216&amp;"")</f>
        <v/>
      </c>
      <c r="AA216">
        <f>IF(Z216="","",IF(MATCH(SUBSTITUTE(SUBSTITUTE(SUBSTITUTE(Z216,"~","~~"),"*","~*"),"?","~?"),$Z$5:$Z$5004,0)=212,MAX($AA$4:AA215)+1,""))</f>
        <v/>
      </c>
    </row>
    <row r="217" spans="1:27">
      <c r="A217" s="9"/>
      <c r="Z217">
        <f>TRIM(A217&amp;"")</f>
        <v/>
      </c>
      <c r="AA217">
        <f>IF(Z217="","",IF(MATCH(SUBSTITUTE(SUBSTITUTE(SUBSTITUTE(Z217,"~","~~"),"*","~*"),"?","~?"),$Z$5:$Z$5004,0)=213,MAX($AA$4:AA216)+1,""))</f>
        <v/>
      </c>
    </row>
    <row r="218" spans="1:27">
      <c r="A218" s="9"/>
      <c r="Z218">
        <f>TRIM(A218&amp;"")</f>
        <v/>
      </c>
      <c r="AA218">
        <f>IF(Z218="","",IF(MATCH(SUBSTITUTE(SUBSTITUTE(SUBSTITUTE(Z218,"~","~~"),"*","~*"),"?","~?"),$Z$5:$Z$5004,0)=214,MAX($AA$4:AA217)+1,""))</f>
        <v/>
      </c>
    </row>
    <row r="219" spans="1:27">
      <c r="A219" s="9"/>
      <c r="Z219">
        <f>TRIM(A219&amp;"")</f>
        <v/>
      </c>
      <c r="AA219">
        <f>IF(Z219="","",IF(MATCH(SUBSTITUTE(SUBSTITUTE(SUBSTITUTE(Z219,"~","~~"),"*","~*"),"?","~?"),$Z$5:$Z$5004,0)=215,MAX($AA$4:AA218)+1,""))</f>
        <v/>
      </c>
    </row>
    <row r="220" spans="1:27">
      <c r="A220" s="9"/>
      <c r="Z220">
        <f>TRIM(A220&amp;"")</f>
        <v/>
      </c>
      <c r="AA220">
        <f>IF(Z220="","",IF(MATCH(SUBSTITUTE(SUBSTITUTE(SUBSTITUTE(Z220,"~","~~"),"*","~*"),"?","~?"),$Z$5:$Z$5004,0)=216,MAX($AA$4:AA219)+1,""))</f>
        <v/>
      </c>
    </row>
    <row r="221" spans="1:27">
      <c r="A221" s="9"/>
      <c r="Z221">
        <f>TRIM(A221&amp;"")</f>
        <v/>
      </c>
      <c r="AA221">
        <f>IF(Z221="","",IF(MATCH(SUBSTITUTE(SUBSTITUTE(SUBSTITUTE(Z221,"~","~~"),"*","~*"),"?","~?"),$Z$5:$Z$5004,0)=217,MAX($AA$4:AA220)+1,""))</f>
        <v/>
      </c>
    </row>
    <row r="222" spans="1:27">
      <c r="A222" s="9"/>
      <c r="Z222">
        <f>TRIM(A222&amp;"")</f>
        <v/>
      </c>
      <c r="AA222">
        <f>IF(Z222="","",IF(MATCH(SUBSTITUTE(SUBSTITUTE(SUBSTITUTE(Z222,"~","~~"),"*","~*"),"?","~?"),$Z$5:$Z$5004,0)=218,MAX($AA$4:AA221)+1,""))</f>
        <v/>
      </c>
    </row>
    <row r="223" spans="1:27">
      <c r="A223" s="9"/>
      <c r="Z223">
        <f>TRIM(A223&amp;"")</f>
        <v/>
      </c>
      <c r="AA223">
        <f>IF(Z223="","",IF(MATCH(SUBSTITUTE(SUBSTITUTE(SUBSTITUTE(Z223,"~","~~"),"*","~*"),"?","~?"),$Z$5:$Z$5004,0)=219,MAX($AA$4:AA222)+1,""))</f>
        <v/>
      </c>
    </row>
    <row r="224" spans="1:27">
      <c r="A224" s="9"/>
      <c r="Z224">
        <f>TRIM(A224&amp;"")</f>
        <v/>
      </c>
      <c r="AA224">
        <f>IF(Z224="","",IF(MATCH(SUBSTITUTE(SUBSTITUTE(SUBSTITUTE(Z224,"~","~~"),"*","~*"),"?","~?"),$Z$5:$Z$5004,0)=220,MAX($AA$4:AA223)+1,""))</f>
        <v/>
      </c>
    </row>
    <row r="225" spans="1:27">
      <c r="A225" s="9"/>
      <c r="Z225">
        <f>TRIM(A225&amp;"")</f>
        <v/>
      </c>
      <c r="AA225">
        <f>IF(Z225="","",IF(MATCH(SUBSTITUTE(SUBSTITUTE(SUBSTITUTE(Z225,"~","~~"),"*","~*"),"?","~?"),$Z$5:$Z$5004,0)=221,MAX($AA$4:AA224)+1,""))</f>
        <v/>
      </c>
    </row>
    <row r="226" spans="1:27">
      <c r="A226" s="9"/>
      <c r="Z226">
        <f>TRIM(A226&amp;"")</f>
        <v/>
      </c>
      <c r="AA226">
        <f>IF(Z226="","",IF(MATCH(SUBSTITUTE(SUBSTITUTE(SUBSTITUTE(Z226,"~","~~"),"*","~*"),"?","~?"),$Z$5:$Z$5004,0)=222,MAX($AA$4:AA225)+1,""))</f>
        <v/>
      </c>
    </row>
    <row r="227" spans="1:27">
      <c r="A227" s="9"/>
      <c r="Z227">
        <f>TRIM(A227&amp;"")</f>
        <v/>
      </c>
      <c r="AA227">
        <f>IF(Z227="","",IF(MATCH(SUBSTITUTE(SUBSTITUTE(SUBSTITUTE(Z227,"~","~~"),"*","~*"),"?","~?"),$Z$5:$Z$5004,0)=223,MAX($AA$4:AA226)+1,""))</f>
        <v/>
      </c>
    </row>
    <row r="228" spans="1:27">
      <c r="A228" s="9"/>
      <c r="Z228">
        <f>TRIM(A228&amp;"")</f>
        <v/>
      </c>
      <c r="AA228">
        <f>IF(Z228="","",IF(MATCH(SUBSTITUTE(SUBSTITUTE(SUBSTITUTE(Z228,"~","~~"),"*","~*"),"?","~?"),$Z$5:$Z$5004,0)=224,MAX($AA$4:AA227)+1,""))</f>
        <v/>
      </c>
    </row>
    <row r="229" spans="1:27">
      <c r="A229" s="9"/>
      <c r="Z229">
        <f>TRIM(A229&amp;"")</f>
        <v/>
      </c>
      <c r="AA229">
        <f>IF(Z229="","",IF(MATCH(SUBSTITUTE(SUBSTITUTE(SUBSTITUTE(Z229,"~","~~"),"*","~*"),"?","~?"),$Z$5:$Z$5004,0)=225,MAX($AA$4:AA228)+1,""))</f>
        <v/>
      </c>
    </row>
    <row r="230" spans="1:27">
      <c r="A230" s="9"/>
      <c r="Z230">
        <f>TRIM(A230&amp;"")</f>
        <v/>
      </c>
      <c r="AA230">
        <f>IF(Z230="","",IF(MATCH(SUBSTITUTE(SUBSTITUTE(SUBSTITUTE(Z230,"~","~~"),"*","~*"),"?","~?"),$Z$5:$Z$5004,0)=226,MAX($AA$4:AA229)+1,""))</f>
        <v/>
      </c>
    </row>
    <row r="231" spans="1:27">
      <c r="A231" s="9"/>
      <c r="Z231">
        <f>TRIM(A231&amp;"")</f>
        <v/>
      </c>
      <c r="AA231">
        <f>IF(Z231="","",IF(MATCH(SUBSTITUTE(SUBSTITUTE(SUBSTITUTE(Z231,"~","~~"),"*","~*"),"?","~?"),$Z$5:$Z$5004,0)=227,MAX($AA$4:AA230)+1,""))</f>
        <v/>
      </c>
    </row>
    <row r="232" spans="1:27">
      <c r="A232" s="9"/>
      <c r="Z232">
        <f>TRIM(A232&amp;"")</f>
        <v/>
      </c>
      <c r="AA232">
        <f>IF(Z232="","",IF(MATCH(SUBSTITUTE(SUBSTITUTE(SUBSTITUTE(Z232,"~","~~"),"*","~*"),"?","~?"),$Z$5:$Z$5004,0)=228,MAX($AA$4:AA231)+1,""))</f>
        <v/>
      </c>
    </row>
    <row r="233" spans="1:27">
      <c r="A233" s="9"/>
      <c r="Z233">
        <f>TRIM(A233&amp;"")</f>
        <v/>
      </c>
      <c r="AA233">
        <f>IF(Z233="","",IF(MATCH(SUBSTITUTE(SUBSTITUTE(SUBSTITUTE(Z233,"~","~~"),"*","~*"),"?","~?"),$Z$5:$Z$5004,0)=229,MAX($AA$4:AA232)+1,""))</f>
        <v/>
      </c>
    </row>
    <row r="234" spans="1:27">
      <c r="A234" s="9"/>
      <c r="Z234">
        <f>TRIM(A234&amp;"")</f>
        <v/>
      </c>
      <c r="AA234">
        <f>IF(Z234="","",IF(MATCH(SUBSTITUTE(SUBSTITUTE(SUBSTITUTE(Z234,"~","~~"),"*","~*"),"?","~?"),$Z$5:$Z$5004,0)=230,MAX($AA$4:AA233)+1,""))</f>
        <v/>
      </c>
    </row>
    <row r="235" spans="1:27">
      <c r="A235" s="9"/>
      <c r="Z235">
        <f>TRIM(A235&amp;"")</f>
        <v/>
      </c>
      <c r="AA235">
        <f>IF(Z235="","",IF(MATCH(SUBSTITUTE(SUBSTITUTE(SUBSTITUTE(Z235,"~","~~"),"*","~*"),"?","~?"),$Z$5:$Z$5004,0)=231,MAX($AA$4:AA234)+1,""))</f>
        <v/>
      </c>
    </row>
    <row r="236" spans="1:27">
      <c r="A236" s="9"/>
      <c r="Z236">
        <f>TRIM(A236&amp;"")</f>
        <v/>
      </c>
      <c r="AA236">
        <f>IF(Z236="","",IF(MATCH(SUBSTITUTE(SUBSTITUTE(SUBSTITUTE(Z236,"~","~~"),"*","~*"),"?","~?"),$Z$5:$Z$5004,0)=232,MAX($AA$4:AA235)+1,""))</f>
        <v/>
      </c>
    </row>
    <row r="237" spans="1:27">
      <c r="A237" s="9"/>
      <c r="Z237">
        <f>TRIM(A237&amp;"")</f>
        <v/>
      </c>
      <c r="AA237">
        <f>IF(Z237="","",IF(MATCH(SUBSTITUTE(SUBSTITUTE(SUBSTITUTE(Z237,"~","~~"),"*","~*"),"?","~?"),$Z$5:$Z$5004,0)=233,MAX($AA$4:AA236)+1,""))</f>
        <v/>
      </c>
    </row>
    <row r="238" spans="1:27">
      <c r="A238" s="9"/>
      <c r="Z238">
        <f>TRIM(A238&amp;"")</f>
        <v/>
      </c>
      <c r="AA238">
        <f>IF(Z238="","",IF(MATCH(SUBSTITUTE(SUBSTITUTE(SUBSTITUTE(Z238,"~","~~"),"*","~*"),"?","~?"),$Z$5:$Z$5004,0)=234,MAX($AA$4:AA237)+1,""))</f>
        <v/>
      </c>
    </row>
    <row r="239" spans="1:27">
      <c r="A239" s="9"/>
      <c r="Z239">
        <f>TRIM(A239&amp;"")</f>
        <v/>
      </c>
      <c r="AA239">
        <f>IF(Z239="","",IF(MATCH(SUBSTITUTE(SUBSTITUTE(SUBSTITUTE(Z239,"~","~~"),"*","~*"),"?","~?"),$Z$5:$Z$5004,0)=235,MAX($AA$4:AA238)+1,""))</f>
        <v/>
      </c>
    </row>
    <row r="240" spans="1:27">
      <c r="A240" s="9"/>
      <c r="Z240">
        <f>TRIM(A240&amp;"")</f>
        <v/>
      </c>
      <c r="AA240">
        <f>IF(Z240="","",IF(MATCH(SUBSTITUTE(SUBSTITUTE(SUBSTITUTE(Z240,"~","~~"),"*","~*"),"?","~?"),$Z$5:$Z$5004,0)=236,MAX($AA$4:AA239)+1,""))</f>
        <v/>
      </c>
    </row>
    <row r="241" spans="1:27">
      <c r="A241" s="9"/>
      <c r="Z241">
        <f>TRIM(A241&amp;"")</f>
        <v/>
      </c>
      <c r="AA241">
        <f>IF(Z241="","",IF(MATCH(SUBSTITUTE(SUBSTITUTE(SUBSTITUTE(Z241,"~","~~"),"*","~*"),"?","~?"),$Z$5:$Z$5004,0)=237,MAX($AA$4:AA240)+1,""))</f>
        <v/>
      </c>
    </row>
    <row r="242" spans="1:27">
      <c r="A242" s="9"/>
      <c r="Z242">
        <f>TRIM(A242&amp;"")</f>
        <v/>
      </c>
      <c r="AA242">
        <f>IF(Z242="","",IF(MATCH(SUBSTITUTE(SUBSTITUTE(SUBSTITUTE(Z242,"~","~~"),"*","~*"),"?","~?"),$Z$5:$Z$5004,0)=238,MAX($AA$4:AA241)+1,""))</f>
        <v/>
      </c>
    </row>
    <row r="243" spans="1:27">
      <c r="A243" s="9"/>
      <c r="Z243">
        <f>TRIM(A243&amp;"")</f>
        <v/>
      </c>
      <c r="AA243">
        <f>IF(Z243="","",IF(MATCH(SUBSTITUTE(SUBSTITUTE(SUBSTITUTE(Z243,"~","~~"),"*","~*"),"?","~?"),$Z$5:$Z$5004,0)=239,MAX($AA$4:AA242)+1,""))</f>
        <v/>
      </c>
    </row>
    <row r="244" spans="1:27">
      <c r="A244" s="9"/>
      <c r="Z244">
        <f>TRIM(A244&amp;"")</f>
        <v/>
      </c>
      <c r="AA244">
        <f>IF(Z244="","",IF(MATCH(SUBSTITUTE(SUBSTITUTE(SUBSTITUTE(Z244,"~","~~"),"*","~*"),"?","~?"),$Z$5:$Z$5004,0)=240,MAX($AA$4:AA243)+1,""))</f>
        <v/>
      </c>
    </row>
    <row r="245" spans="1:27">
      <c r="A245" s="9"/>
      <c r="Z245">
        <f>TRIM(A245&amp;"")</f>
        <v/>
      </c>
      <c r="AA245">
        <f>IF(Z245="","",IF(MATCH(SUBSTITUTE(SUBSTITUTE(SUBSTITUTE(Z245,"~","~~"),"*","~*"),"?","~?"),$Z$5:$Z$5004,0)=241,MAX($AA$4:AA244)+1,""))</f>
        <v/>
      </c>
    </row>
    <row r="246" spans="1:27">
      <c r="A246" s="9"/>
      <c r="Z246">
        <f>TRIM(A246&amp;"")</f>
        <v/>
      </c>
      <c r="AA246">
        <f>IF(Z246="","",IF(MATCH(SUBSTITUTE(SUBSTITUTE(SUBSTITUTE(Z246,"~","~~"),"*","~*"),"?","~?"),$Z$5:$Z$5004,0)=242,MAX($AA$4:AA245)+1,""))</f>
        <v/>
      </c>
    </row>
    <row r="247" spans="1:27">
      <c r="A247" s="9"/>
      <c r="Z247">
        <f>TRIM(A247&amp;"")</f>
        <v/>
      </c>
      <c r="AA247">
        <f>IF(Z247="","",IF(MATCH(SUBSTITUTE(SUBSTITUTE(SUBSTITUTE(Z247,"~","~~"),"*","~*"),"?","~?"),$Z$5:$Z$5004,0)=243,MAX($AA$4:AA246)+1,""))</f>
        <v/>
      </c>
    </row>
    <row r="248" spans="1:27">
      <c r="A248" s="9"/>
      <c r="Z248">
        <f>TRIM(A248&amp;"")</f>
        <v/>
      </c>
      <c r="AA248">
        <f>IF(Z248="","",IF(MATCH(SUBSTITUTE(SUBSTITUTE(SUBSTITUTE(Z248,"~","~~"),"*","~*"),"?","~?"),$Z$5:$Z$5004,0)=244,MAX($AA$4:AA247)+1,""))</f>
        <v/>
      </c>
    </row>
    <row r="249" spans="1:27">
      <c r="A249" s="9"/>
      <c r="Z249">
        <f>TRIM(A249&amp;"")</f>
        <v/>
      </c>
      <c r="AA249">
        <f>IF(Z249="","",IF(MATCH(SUBSTITUTE(SUBSTITUTE(SUBSTITUTE(Z249,"~","~~"),"*","~*"),"?","~?"),$Z$5:$Z$5004,0)=245,MAX($AA$4:AA248)+1,""))</f>
        <v/>
      </c>
    </row>
    <row r="250" spans="1:27">
      <c r="A250" s="9"/>
      <c r="Z250">
        <f>TRIM(A250&amp;"")</f>
        <v/>
      </c>
      <c r="AA250">
        <f>IF(Z250="","",IF(MATCH(SUBSTITUTE(SUBSTITUTE(SUBSTITUTE(Z250,"~","~~"),"*","~*"),"?","~?"),$Z$5:$Z$5004,0)=246,MAX($AA$4:AA249)+1,""))</f>
        <v/>
      </c>
    </row>
    <row r="251" spans="1:27">
      <c r="A251" s="9"/>
      <c r="Z251">
        <f>TRIM(A251&amp;"")</f>
        <v/>
      </c>
      <c r="AA251">
        <f>IF(Z251="","",IF(MATCH(SUBSTITUTE(SUBSTITUTE(SUBSTITUTE(Z251,"~","~~"),"*","~*"),"?","~?"),$Z$5:$Z$5004,0)=247,MAX($AA$4:AA250)+1,""))</f>
        <v/>
      </c>
    </row>
    <row r="252" spans="1:27">
      <c r="A252" s="9"/>
      <c r="Z252">
        <f>TRIM(A252&amp;"")</f>
        <v/>
      </c>
      <c r="AA252">
        <f>IF(Z252="","",IF(MATCH(SUBSTITUTE(SUBSTITUTE(SUBSTITUTE(Z252,"~","~~"),"*","~*"),"?","~?"),$Z$5:$Z$5004,0)=248,MAX($AA$4:AA251)+1,""))</f>
        <v/>
      </c>
    </row>
    <row r="253" spans="1:27">
      <c r="A253" s="9"/>
      <c r="Z253">
        <f>TRIM(A253&amp;"")</f>
        <v/>
      </c>
      <c r="AA253">
        <f>IF(Z253="","",IF(MATCH(SUBSTITUTE(SUBSTITUTE(SUBSTITUTE(Z253,"~","~~"),"*","~*"),"?","~?"),$Z$5:$Z$5004,0)=249,MAX($AA$4:AA252)+1,""))</f>
        <v/>
      </c>
    </row>
    <row r="254" spans="1:27">
      <c r="A254" s="9"/>
      <c r="Z254">
        <f>TRIM(A254&amp;"")</f>
        <v/>
      </c>
      <c r="AA254">
        <f>IF(Z254="","",IF(MATCH(SUBSTITUTE(SUBSTITUTE(SUBSTITUTE(Z254,"~","~~"),"*","~*"),"?","~?"),$Z$5:$Z$5004,0)=250,MAX($AA$4:AA253)+1,""))</f>
        <v/>
      </c>
    </row>
    <row r="255" spans="1:27">
      <c r="A255" s="9"/>
      <c r="Z255">
        <f>TRIM(A255&amp;"")</f>
        <v/>
      </c>
      <c r="AA255">
        <f>IF(Z255="","",IF(MATCH(SUBSTITUTE(SUBSTITUTE(SUBSTITUTE(Z255,"~","~~"),"*","~*"),"?","~?"),$Z$5:$Z$5004,0)=251,MAX($AA$4:AA254)+1,""))</f>
        <v/>
      </c>
    </row>
    <row r="256" spans="1:27">
      <c r="A256" s="9"/>
      <c r="Z256">
        <f>TRIM(A256&amp;"")</f>
        <v/>
      </c>
      <c r="AA256">
        <f>IF(Z256="","",IF(MATCH(SUBSTITUTE(SUBSTITUTE(SUBSTITUTE(Z256,"~","~~"),"*","~*"),"?","~?"),$Z$5:$Z$5004,0)=252,MAX($AA$4:AA255)+1,""))</f>
        <v/>
      </c>
    </row>
    <row r="257" spans="1:27">
      <c r="A257" s="9"/>
      <c r="Z257">
        <f>TRIM(A257&amp;"")</f>
        <v/>
      </c>
      <c r="AA257">
        <f>IF(Z257="","",IF(MATCH(SUBSTITUTE(SUBSTITUTE(SUBSTITUTE(Z257,"~","~~"),"*","~*"),"?","~?"),$Z$5:$Z$5004,0)=253,MAX($AA$4:AA256)+1,""))</f>
        <v/>
      </c>
    </row>
    <row r="258" spans="1:27">
      <c r="A258" s="9"/>
      <c r="Z258">
        <f>TRIM(A258&amp;"")</f>
        <v/>
      </c>
      <c r="AA258">
        <f>IF(Z258="","",IF(MATCH(SUBSTITUTE(SUBSTITUTE(SUBSTITUTE(Z258,"~","~~"),"*","~*"),"?","~?"),$Z$5:$Z$5004,0)=254,MAX($AA$4:AA257)+1,""))</f>
        <v/>
      </c>
    </row>
    <row r="259" spans="1:27">
      <c r="A259" s="9"/>
      <c r="Z259">
        <f>TRIM(A259&amp;"")</f>
        <v/>
      </c>
      <c r="AA259">
        <f>IF(Z259="","",IF(MATCH(SUBSTITUTE(SUBSTITUTE(SUBSTITUTE(Z259,"~","~~"),"*","~*"),"?","~?"),$Z$5:$Z$5004,0)=255,MAX($AA$4:AA258)+1,""))</f>
        <v/>
      </c>
    </row>
    <row r="260" spans="1:27">
      <c r="A260" s="9"/>
      <c r="Z260">
        <f>TRIM(A260&amp;"")</f>
        <v/>
      </c>
      <c r="AA260">
        <f>IF(Z260="","",IF(MATCH(SUBSTITUTE(SUBSTITUTE(SUBSTITUTE(Z260,"~","~~"),"*","~*"),"?","~?"),$Z$5:$Z$5004,0)=256,MAX($AA$4:AA259)+1,""))</f>
        <v/>
      </c>
    </row>
    <row r="261" spans="1:27">
      <c r="A261" s="9"/>
      <c r="Z261">
        <f>TRIM(A261&amp;"")</f>
        <v/>
      </c>
      <c r="AA261">
        <f>IF(Z261="","",IF(MATCH(SUBSTITUTE(SUBSTITUTE(SUBSTITUTE(Z261,"~","~~"),"*","~*"),"?","~?"),$Z$5:$Z$5004,0)=257,MAX($AA$4:AA260)+1,""))</f>
        <v/>
      </c>
    </row>
    <row r="262" spans="1:27">
      <c r="A262" s="9"/>
      <c r="Z262">
        <f>TRIM(A262&amp;"")</f>
        <v/>
      </c>
      <c r="AA262">
        <f>IF(Z262="","",IF(MATCH(SUBSTITUTE(SUBSTITUTE(SUBSTITUTE(Z262,"~","~~"),"*","~*"),"?","~?"),$Z$5:$Z$5004,0)=258,MAX($AA$4:AA261)+1,""))</f>
        <v/>
      </c>
    </row>
    <row r="263" spans="1:27">
      <c r="A263" s="9"/>
      <c r="Z263">
        <f>TRIM(A263&amp;"")</f>
        <v/>
      </c>
      <c r="AA263">
        <f>IF(Z263="","",IF(MATCH(SUBSTITUTE(SUBSTITUTE(SUBSTITUTE(Z263,"~","~~"),"*","~*"),"?","~?"),$Z$5:$Z$5004,0)=259,MAX($AA$4:AA262)+1,""))</f>
        <v/>
      </c>
    </row>
    <row r="264" spans="1:27">
      <c r="A264" s="9"/>
      <c r="Z264">
        <f>TRIM(A264&amp;"")</f>
        <v/>
      </c>
      <c r="AA264">
        <f>IF(Z264="","",IF(MATCH(SUBSTITUTE(SUBSTITUTE(SUBSTITUTE(Z264,"~","~~"),"*","~*"),"?","~?"),$Z$5:$Z$5004,0)=260,MAX($AA$4:AA263)+1,""))</f>
        <v/>
      </c>
    </row>
    <row r="265" spans="1:27">
      <c r="A265" s="9"/>
      <c r="Z265">
        <f>TRIM(A265&amp;"")</f>
        <v/>
      </c>
      <c r="AA265">
        <f>IF(Z265="","",IF(MATCH(SUBSTITUTE(SUBSTITUTE(SUBSTITUTE(Z265,"~","~~"),"*","~*"),"?","~?"),$Z$5:$Z$5004,0)=261,MAX($AA$4:AA264)+1,""))</f>
        <v/>
      </c>
    </row>
    <row r="266" spans="1:27">
      <c r="A266" s="9"/>
      <c r="Z266">
        <f>TRIM(A266&amp;"")</f>
        <v/>
      </c>
      <c r="AA266">
        <f>IF(Z266="","",IF(MATCH(SUBSTITUTE(SUBSTITUTE(SUBSTITUTE(Z266,"~","~~"),"*","~*"),"?","~?"),$Z$5:$Z$5004,0)=262,MAX($AA$4:AA265)+1,""))</f>
        <v/>
      </c>
    </row>
    <row r="267" spans="1:27">
      <c r="A267" s="9"/>
      <c r="Z267">
        <f>TRIM(A267&amp;"")</f>
        <v/>
      </c>
      <c r="AA267">
        <f>IF(Z267="","",IF(MATCH(SUBSTITUTE(SUBSTITUTE(SUBSTITUTE(Z267,"~","~~"),"*","~*"),"?","~?"),$Z$5:$Z$5004,0)=263,MAX($AA$4:AA266)+1,""))</f>
        <v/>
      </c>
    </row>
    <row r="268" spans="1:27">
      <c r="A268" s="9"/>
      <c r="Z268">
        <f>TRIM(A268&amp;"")</f>
        <v/>
      </c>
      <c r="AA268">
        <f>IF(Z268="","",IF(MATCH(SUBSTITUTE(SUBSTITUTE(SUBSTITUTE(Z268,"~","~~"),"*","~*"),"?","~?"),$Z$5:$Z$5004,0)=264,MAX($AA$4:AA267)+1,""))</f>
        <v/>
      </c>
    </row>
    <row r="269" spans="1:27">
      <c r="A269" s="9"/>
      <c r="Z269">
        <f>TRIM(A269&amp;"")</f>
        <v/>
      </c>
      <c r="AA269">
        <f>IF(Z269="","",IF(MATCH(SUBSTITUTE(SUBSTITUTE(SUBSTITUTE(Z269,"~","~~"),"*","~*"),"?","~?"),$Z$5:$Z$5004,0)=265,MAX($AA$4:AA268)+1,""))</f>
        <v/>
      </c>
    </row>
    <row r="270" spans="1:27">
      <c r="A270" s="9"/>
      <c r="Z270">
        <f>TRIM(A270&amp;"")</f>
        <v/>
      </c>
      <c r="AA270">
        <f>IF(Z270="","",IF(MATCH(SUBSTITUTE(SUBSTITUTE(SUBSTITUTE(Z270,"~","~~"),"*","~*"),"?","~?"),$Z$5:$Z$5004,0)=266,MAX($AA$4:AA269)+1,""))</f>
        <v/>
      </c>
    </row>
    <row r="271" spans="1:27">
      <c r="A271" s="9"/>
      <c r="Z271">
        <f>TRIM(A271&amp;"")</f>
        <v/>
      </c>
      <c r="AA271">
        <f>IF(Z271="","",IF(MATCH(SUBSTITUTE(SUBSTITUTE(SUBSTITUTE(Z271,"~","~~"),"*","~*"),"?","~?"),$Z$5:$Z$5004,0)=267,MAX($AA$4:AA270)+1,""))</f>
        <v/>
      </c>
    </row>
    <row r="272" spans="1:27">
      <c r="A272" s="9"/>
      <c r="Z272">
        <f>TRIM(A272&amp;"")</f>
        <v/>
      </c>
      <c r="AA272">
        <f>IF(Z272="","",IF(MATCH(SUBSTITUTE(SUBSTITUTE(SUBSTITUTE(Z272,"~","~~"),"*","~*"),"?","~?"),$Z$5:$Z$5004,0)=268,MAX($AA$4:AA271)+1,""))</f>
        <v/>
      </c>
    </row>
    <row r="273" spans="1:27">
      <c r="A273" s="9"/>
      <c r="Z273">
        <f>TRIM(A273&amp;"")</f>
        <v/>
      </c>
      <c r="AA273">
        <f>IF(Z273="","",IF(MATCH(SUBSTITUTE(SUBSTITUTE(SUBSTITUTE(Z273,"~","~~"),"*","~*"),"?","~?"),$Z$5:$Z$5004,0)=269,MAX($AA$4:AA272)+1,""))</f>
        <v/>
      </c>
    </row>
    <row r="274" spans="1:27">
      <c r="A274" s="9"/>
      <c r="Z274">
        <f>TRIM(A274&amp;"")</f>
        <v/>
      </c>
      <c r="AA274">
        <f>IF(Z274="","",IF(MATCH(SUBSTITUTE(SUBSTITUTE(SUBSTITUTE(Z274,"~","~~"),"*","~*"),"?","~?"),$Z$5:$Z$5004,0)=270,MAX($AA$4:AA273)+1,""))</f>
        <v/>
      </c>
    </row>
    <row r="275" spans="1:27">
      <c r="A275" s="9"/>
      <c r="Z275">
        <f>TRIM(A275&amp;"")</f>
        <v/>
      </c>
      <c r="AA275">
        <f>IF(Z275="","",IF(MATCH(SUBSTITUTE(SUBSTITUTE(SUBSTITUTE(Z275,"~","~~"),"*","~*"),"?","~?"),$Z$5:$Z$5004,0)=271,MAX($AA$4:AA274)+1,""))</f>
        <v/>
      </c>
    </row>
    <row r="276" spans="1:27">
      <c r="A276" s="9"/>
      <c r="Z276">
        <f>TRIM(A276&amp;"")</f>
        <v/>
      </c>
      <c r="AA276">
        <f>IF(Z276="","",IF(MATCH(SUBSTITUTE(SUBSTITUTE(SUBSTITUTE(Z276,"~","~~"),"*","~*"),"?","~?"),$Z$5:$Z$5004,0)=272,MAX($AA$4:AA275)+1,""))</f>
        <v/>
      </c>
    </row>
    <row r="277" spans="1:27">
      <c r="A277" s="9"/>
      <c r="Z277">
        <f>TRIM(A277&amp;"")</f>
        <v/>
      </c>
      <c r="AA277">
        <f>IF(Z277="","",IF(MATCH(SUBSTITUTE(SUBSTITUTE(SUBSTITUTE(Z277,"~","~~"),"*","~*"),"?","~?"),$Z$5:$Z$5004,0)=273,MAX($AA$4:AA276)+1,""))</f>
        <v/>
      </c>
    </row>
    <row r="278" spans="1:27">
      <c r="A278" s="9"/>
      <c r="Z278">
        <f>TRIM(A278&amp;"")</f>
        <v/>
      </c>
      <c r="AA278">
        <f>IF(Z278="","",IF(MATCH(SUBSTITUTE(SUBSTITUTE(SUBSTITUTE(Z278,"~","~~"),"*","~*"),"?","~?"),$Z$5:$Z$5004,0)=274,MAX($AA$4:AA277)+1,""))</f>
        <v/>
      </c>
    </row>
    <row r="279" spans="1:27">
      <c r="A279" s="9"/>
      <c r="Z279">
        <f>TRIM(A279&amp;"")</f>
        <v/>
      </c>
      <c r="AA279">
        <f>IF(Z279="","",IF(MATCH(SUBSTITUTE(SUBSTITUTE(SUBSTITUTE(Z279,"~","~~"),"*","~*"),"?","~?"),$Z$5:$Z$5004,0)=275,MAX($AA$4:AA278)+1,""))</f>
        <v/>
      </c>
    </row>
    <row r="280" spans="1:27">
      <c r="A280" s="9"/>
      <c r="Z280">
        <f>TRIM(A280&amp;"")</f>
        <v/>
      </c>
      <c r="AA280">
        <f>IF(Z280="","",IF(MATCH(SUBSTITUTE(SUBSTITUTE(SUBSTITUTE(Z280,"~","~~"),"*","~*"),"?","~?"),$Z$5:$Z$5004,0)=276,MAX($AA$4:AA279)+1,""))</f>
        <v/>
      </c>
    </row>
    <row r="281" spans="1:27">
      <c r="A281" s="9"/>
      <c r="Z281">
        <f>TRIM(A281&amp;"")</f>
        <v/>
      </c>
      <c r="AA281">
        <f>IF(Z281="","",IF(MATCH(SUBSTITUTE(SUBSTITUTE(SUBSTITUTE(Z281,"~","~~"),"*","~*"),"?","~?"),$Z$5:$Z$5004,0)=277,MAX($AA$4:AA280)+1,""))</f>
        <v/>
      </c>
    </row>
    <row r="282" spans="1:27">
      <c r="A282" s="9"/>
      <c r="Z282">
        <f>TRIM(A282&amp;"")</f>
        <v/>
      </c>
      <c r="AA282">
        <f>IF(Z282="","",IF(MATCH(SUBSTITUTE(SUBSTITUTE(SUBSTITUTE(Z282,"~","~~"),"*","~*"),"?","~?"),$Z$5:$Z$5004,0)=278,MAX($AA$4:AA281)+1,""))</f>
        <v/>
      </c>
    </row>
    <row r="283" spans="1:27">
      <c r="A283" s="9"/>
      <c r="Z283">
        <f>TRIM(A283&amp;"")</f>
        <v/>
      </c>
      <c r="AA283">
        <f>IF(Z283="","",IF(MATCH(SUBSTITUTE(SUBSTITUTE(SUBSTITUTE(Z283,"~","~~"),"*","~*"),"?","~?"),$Z$5:$Z$5004,0)=279,MAX($AA$4:AA282)+1,""))</f>
        <v/>
      </c>
    </row>
    <row r="284" spans="1:27">
      <c r="A284" s="9"/>
      <c r="Z284">
        <f>TRIM(A284&amp;"")</f>
        <v/>
      </c>
      <c r="AA284">
        <f>IF(Z284="","",IF(MATCH(SUBSTITUTE(SUBSTITUTE(SUBSTITUTE(Z284,"~","~~"),"*","~*"),"?","~?"),$Z$5:$Z$5004,0)=280,MAX($AA$4:AA283)+1,""))</f>
        <v/>
      </c>
    </row>
    <row r="285" spans="1:27">
      <c r="A285" s="9"/>
      <c r="Z285">
        <f>TRIM(A285&amp;"")</f>
        <v/>
      </c>
      <c r="AA285">
        <f>IF(Z285="","",IF(MATCH(SUBSTITUTE(SUBSTITUTE(SUBSTITUTE(Z285,"~","~~"),"*","~*"),"?","~?"),$Z$5:$Z$5004,0)=281,MAX($AA$4:AA284)+1,""))</f>
        <v/>
      </c>
    </row>
    <row r="286" spans="1:27">
      <c r="A286" s="9"/>
      <c r="Z286">
        <f>TRIM(A286&amp;"")</f>
        <v/>
      </c>
      <c r="AA286">
        <f>IF(Z286="","",IF(MATCH(SUBSTITUTE(SUBSTITUTE(SUBSTITUTE(Z286,"~","~~"),"*","~*"),"?","~?"),$Z$5:$Z$5004,0)=282,MAX($AA$4:AA285)+1,""))</f>
        <v/>
      </c>
    </row>
    <row r="287" spans="1:27">
      <c r="A287" s="9"/>
      <c r="Z287">
        <f>TRIM(A287&amp;"")</f>
        <v/>
      </c>
      <c r="AA287">
        <f>IF(Z287="","",IF(MATCH(SUBSTITUTE(SUBSTITUTE(SUBSTITUTE(Z287,"~","~~"),"*","~*"),"?","~?"),$Z$5:$Z$5004,0)=283,MAX($AA$4:AA286)+1,""))</f>
        <v/>
      </c>
    </row>
    <row r="288" spans="1:27">
      <c r="A288" s="9"/>
      <c r="Z288">
        <f>TRIM(A288&amp;"")</f>
        <v/>
      </c>
      <c r="AA288">
        <f>IF(Z288="","",IF(MATCH(SUBSTITUTE(SUBSTITUTE(SUBSTITUTE(Z288,"~","~~"),"*","~*"),"?","~?"),$Z$5:$Z$5004,0)=284,MAX($AA$4:AA287)+1,""))</f>
        <v/>
      </c>
    </row>
    <row r="289" spans="1:27">
      <c r="A289" s="9"/>
      <c r="Z289">
        <f>TRIM(A289&amp;"")</f>
        <v/>
      </c>
      <c r="AA289">
        <f>IF(Z289="","",IF(MATCH(SUBSTITUTE(SUBSTITUTE(SUBSTITUTE(Z289,"~","~~"),"*","~*"),"?","~?"),$Z$5:$Z$5004,0)=285,MAX($AA$4:AA288)+1,""))</f>
        <v/>
      </c>
    </row>
    <row r="290" spans="1:27">
      <c r="A290" s="9"/>
      <c r="Z290">
        <f>TRIM(A290&amp;"")</f>
        <v/>
      </c>
      <c r="AA290">
        <f>IF(Z290="","",IF(MATCH(SUBSTITUTE(SUBSTITUTE(SUBSTITUTE(Z290,"~","~~"),"*","~*"),"?","~?"),$Z$5:$Z$5004,0)=286,MAX($AA$4:AA289)+1,""))</f>
        <v/>
      </c>
    </row>
    <row r="291" spans="1:27">
      <c r="A291" s="9"/>
      <c r="Z291">
        <f>TRIM(A291&amp;"")</f>
        <v/>
      </c>
      <c r="AA291">
        <f>IF(Z291="","",IF(MATCH(SUBSTITUTE(SUBSTITUTE(SUBSTITUTE(Z291,"~","~~"),"*","~*"),"?","~?"),$Z$5:$Z$5004,0)=287,MAX($AA$4:AA290)+1,""))</f>
        <v/>
      </c>
    </row>
    <row r="292" spans="1:27">
      <c r="A292" s="9"/>
      <c r="Z292">
        <f>TRIM(A292&amp;"")</f>
        <v/>
      </c>
      <c r="AA292">
        <f>IF(Z292="","",IF(MATCH(SUBSTITUTE(SUBSTITUTE(SUBSTITUTE(Z292,"~","~~"),"*","~*"),"?","~?"),$Z$5:$Z$5004,0)=288,MAX($AA$4:AA291)+1,""))</f>
        <v/>
      </c>
    </row>
    <row r="293" spans="1:27">
      <c r="A293" s="9"/>
      <c r="Z293">
        <f>TRIM(A293&amp;"")</f>
        <v/>
      </c>
      <c r="AA293">
        <f>IF(Z293="","",IF(MATCH(SUBSTITUTE(SUBSTITUTE(SUBSTITUTE(Z293,"~","~~"),"*","~*"),"?","~?"),$Z$5:$Z$5004,0)=289,MAX($AA$4:AA292)+1,""))</f>
        <v/>
      </c>
    </row>
    <row r="294" spans="1:27">
      <c r="A294" s="9"/>
      <c r="Z294">
        <f>TRIM(A294&amp;"")</f>
        <v/>
      </c>
      <c r="AA294">
        <f>IF(Z294="","",IF(MATCH(SUBSTITUTE(SUBSTITUTE(SUBSTITUTE(Z294,"~","~~"),"*","~*"),"?","~?"),$Z$5:$Z$5004,0)=290,MAX($AA$4:AA293)+1,""))</f>
        <v/>
      </c>
    </row>
    <row r="295" spans="1:27">
      <c r="A295" s="9"/>
      <c r="Z295">
        <f>TRIM(A295&amp;"")</f>
        <v/>
      </c>
      <c r="AA295">
        <f>IF(Z295="","",IF(MATCH(SUBSTITUTE(SUBSTITUTE(SUBSTITUTE(Z295,"~","~~"),"*","~*"),"?","~?"),$Z$5:$Z$5004,0)=291,MAX($AA$4:AA294)+1,""))</f>
        <v/>
      </c>
    </row>
    <row r="296" spans="1:27">
      <c r="A296" s="9"/>
      <c r="Z296">
        <f>TRIM(A296&amp;"")</f>
        <v/>
      </c>
      <c r="AA296">
        <f>IF(Z296="","",IF(MATCH(SUBSTITUTE(SUBSTITUTE(SUBSTITUTE(Z296,"~","~~"),"*","~*"),"?","~?"),$Z$5:$Z$5004,0)=292,MAX($AA$4:AA295)+1,""))</f>
        <v/>
      </c>
    </row>
    <row r="297" spans="1:27">
      <c r="A297" s="9"/>
      <c r="Z297">
        <f>TRIM(A297&amp;"")</f>
        <v/>
      </c>
      <c r="AA297">
        <f>IF(Z297="","",IF(MATCH(SUBSTITUTE(SUBSTITUTE(SUBSTITUTE(Z297,"~","~~"),"*","~*"),"?","~?"),$Z$5:$Z$5004,0)=293,MAX($AA$4:AA296)+1,""))</f>
        <v/>
      </c>
    </row>
    <row r="298" spans="1:27">
      <c r="A298" s="9"/>
      <c r="Z298">
        <f>TRIM(A298&amp;"")</f>
        <v/>
      </c>
      <c r="AA298">
        <f>IF(Z298="","",IF(MATCH(SUBSTITUTE(SUBSTITUTE(SUBSTITUTE(Z298,"~","~~"),"*","~*"),"?","~?"),$Z$5:$Z$5004,0)=294,MAX($AA$4:AA297)+1,""))</f>
        <v/>
      </c>
    </row>
    <row r="299" spans="1:27">
      <c r="A299" s="9"/>
      <c r="Z299">
        <f>TRIM(A299&amp;"")</f>
        <v/>
      </c>
      <c r="AA299">
        <f>IF(Z299="","",IF(MATCH(SUBSTITUTE(SUBSTITUTE(SUBSTITUTE(Z299,"~","~~"),"*","~*"),"?","~?"),$Z$5:$Z$5004,0)=295,MAX($AA$4:AA298)+1,""))</f>
        <v/>
      </c>
    </row>
    <row r="300" spans="1:27">
      <c r="A300" s="9"/>
      <c r="Z300">
        <f>TRIM(A300&amp;"")</f>
        <v/>
      </c>
      <c r="AA300">
        <f>IF(Z300="","",IF(MATCH(SUBSTITUTE(SUBSTITUTE(SUBSTITUTE(Z300,"~","~~"),"*","~*"),"?","~?"),$Z$5:$Z$5004,0)=296,MAX($AA$4:AA299)+1,""))</f>
        <v/>
      </c>
    </row>
    <row r="301" spans="1:27">
      <c r="A301" s="9"/>
      <c r="Z301">
        <f>TRIM(A301&amp;"")</f>
        <v/>
      </c>
      <c r="AA301">
        <f>IF(Z301="","",IF(MATCH(SUBSTITUTE(SUBSTITUTE(SUBSTITUTE(Z301,"~","~~"),"*","~*"),"?","~?"),$Z$5:$Z$5004,0)=297,MAX($AA$4:AA300)+1,""))</f>
        <v/>
      </c>
    </row>
    <row r="302" spans="1:27">
      <c r="A302" s="9"/>
      <c r="Z302">
        <f>TRIM(A302&amp;"")</f>
        <v/>
      </c>
      <c r="AA302">
        <f>IF(Z302="","",IF(MATCH(SUBSTITUTE(SUBSTITUTE(SUBSTITUTE(Z302,"~","~~"),"*","~*"),"?","~?"),$Z$5:$Z$5004,0)=298,MAX($AA$4:AA301)+1,""))</f>
        <v/>
      </c>
    </row>
    <row r="303" spans="1:27">
      <c r="A303" s="9"/>
      <c r="Z303">
        <f>TRIM(A303&amp;"")</f>
        <v/>
      </c>
      <c r="AA303">
        <f>IF(Z303="","",IF(MATCH(SUBSTITUTE(SUBSTITUTE(SUBSTITUTE(Z303,"~","~~"),"*","~*"),"?","~?"),$Z$5:$Z$5004,0)=299,MAX($AA$4:AA302)+1,""))</f>
        <v/>
      </c>
    </row>
    <row r="304" spans="1:27">
      <c r="A304" s="9"/>
      <c r="Z304">
        <f>TRIM(A304&amp;"")</f>
        <v/>
      </c>
      <c r="AA304">
        <f>IF(Z304="","",IF(MATCH(SUBSTITUTE(SUBSTITUTE(SUBSTITUTE(Z304,"~","~~"),"*","~*"),"?","~?"),$Z$5:$Z$5004,0)=300,MAX($AA$4:AA303)+1,""))</f>
        <v/>
      </c>
    </row>
    <row r="305" spans="1:27">
      <c r="A305" s="9"/>
      <c r="Z305">
        <f>TRIM(A305&amp;"")</f>
        <v/>
      </c>
      <c r="AA305">
        <f>IF(Z305="","",IF(MATCH(SUBSTITUTE(SUBSTITUTE(SUBSTITUTE(Z305,"~","~~"),"*","~*"),"?","~?"),$Z$5:$Z$5004,0)=301,MAX($AA$4:AA304)+1,""))</f>
        <v/>
      </c>
    </row>
    <row r="306" spans="1:27">
      <c r="A306" s="9"/>
      <c r="Z306">
        <f>TRIM(A306&amp;"")</f>
        <v/>
      </c>
      <c r="AA306">
        <f>IF(Z306="","",IF(MATCH(SUBSTITUTE(SUBSTITUTE(SUBSTITUTE(Z306,"~","~~"),"*","~*"),"?","~?"),$Z$5:$Z$5004,0)=302,MAX($AA$4:AA305)+1,""))</f>
        <v/>
      </c>
    </row>
    <row r="307" spans="1:27">
      <c r="A307" s="9"/>
      <c r="Z307">
        <f>TRIM(A307&amp;"")</f>
        <v/>
      </c>
      <c r="AA307">
        <f>IF(Z307="","",IF(MATCH(SUBSTITUTE(SUBSTITUTE(SUBSTITUTE(Z307,"~","~~"),"*","~*"),"?","~?"),$Z$5:$Z$5004,0)=303,MAX($AA$4:AA306)+1,""))</f>
        <v/>
      </c>
    </row>
    <row r="308" spans="1:27">
      <c r="A308" s="9"/>
      <c r="Z308">
        <f>TRIM(A308&amp;"")</f>
        <v/>
      </c>
      <c r="AA308">
        <f>IF(Z308="","",IF(MATCH(SUBSTITUTE(SUBSTITUTE(SUBSTITUTE(Z308,"~","~~"),"*","~*"),"?","~?"),$Z$5:$Z$5004,0)=304,MAX($AA$4:AA307)+1,""))</f>
        <v/>
      </c>
    </row>
    <row r="309" spans="1:27">
      <c r="A309" s="9"/>
      <c r="Z309">
        <f>TRIM(A309&amp;"")</f>
        <v/>
      </c>
      <c r="AA309">
        <f>IF(Z309="","",IF(MATCH(SUBSTITUTE(SUBSTITUTE(SUBSTITUTE(Z309,"~","~~"),"*","~*"),"?","~?"),$Z$5:$Z$5004,0)=305,MAX($AA$4:AA308)+1,""))</f>
        <v/>
      </c>
    </row>
    <row r="310" spans="1:27">
      <c r="A310" s="9"/>
      <c r="Z310">
        <f>TRIM(A310&amp;"")</f>
        <v/>
      </c>
      <c r="AA310">
        <f>IF(Z310="","",IF(MATCH(SUBSTITUTE(SUBSTITUTE(SUBSTITUTE(Z310,"~","~~"),"*","~*"),"?","~?"),$Z$5:$Z$5004,0)=306,MAX($AA$4:AA309)+1,""))</f>
        <v/>
      </c>
    </row>
    <row r="311" spans="1:27">
      <c r="A311" s="9"/>
      <c r="Z311">
        <f>TRIM(A311&amp;"")</f>
        <v/>
      </c>
      <c r="AA311">
        <f>IF(Z311="","",IF(MATCH(SUBSTITUTE(SUBSTITUTE(SUBSTITUTE(Z311,"~","~~"),"*","~*"),"?","~?"),$Z$5:$Z$5004,0)=307,MAX($AA$4:AA310)+1,""))</f>
        <v/>
      </c>
    </row>
    <row r="312" spans="1:27">
      <c r="A312" s="9"/>
      <c r="Z312">
        <f>TRIM(A312&amp;"")</f>
        <v/>
      </c>
      <c r="AA312">
        <f>IF(Z312="","",IF(MATCH(SUBSTITUTE(SUBSTITUTE(SUBSTITUTE(Z312,"~","~~"),"*","~*"),"?","~?"),$Z$5:$Z$5004,0)=308,MAX($AA$4:AA311)+1,""))</f>
        <v/>
      </c>
    </row>
    <row r="313" spans="1:27">
      <c r="A313" s="9"/>
      <c r="Z313">
        <f>TRIM(A313&amp;"")</f>
        <v/>
      </c>
      <c r="AA313">
        <f>IF(Z313="","",IF(MATCH(SUBSTITUTE(SUBSTITUTE(SUBSTITUTE(Z313,"~","~~"),"*","~*"),"?","~?"),$Z$5:$Z$5004,0)=309,MAX($AA$4:AA312)+1,""))</f>
        <v/>
      </c>
    </row>
    <row r="314" spans="1:27">
      <c r="A314" s="9"/>
      <c r="Z314">
        <f>TRIM(A314&amp;"")</f>
        <v/>
      </c>
      <c r="AA314">
        <f>IF(Z314="","",IF(MATCH(SUBSTITUTE(SUBSTITUTE(SUBSTITUTE(Z314,"~","~~"),"*","~*"),"?","~?"),$Z$5:$Z$5004,0)=310,MAX($AA$4:AA313)+1,""))</f>
        <v/>
      </c>
    </row>
    <row r="315" spans="1:27">
      <c r="A315" s="9"/>
      <c r="Z315">
        <f>TRIM(A315&amp;"")</f>
        <v/>
      </c>
      <c r="AA315">
        <f>IF(Z315="","",IF(MATCH(SUBSTITUTE(SUBSTITUTE(SUBSTITUTE(Z315,"~","~~"),"*","~*"),"?","~?"),$Z$5:$Z$5004,0)=311,MAX($AA$4:AA314)+1,""))</f>
        <v/>
      </c>
    </row>
    <row r="316" spans="1:27">
      <c r="A316" s="9"/>
      <c r="Z316">
        <f>TRIM(A316&amp;"")</f>
        <v/>
      </c>
      <c r="AA316">
        <f>IF(Z316="","",IF(MATCH(SUBSTITUTE(SUBSTITUTE(SUBSTITUTE(Z316,"~","~~"),"*","~*"),"?","~?"),$Z$5:$Z$5004,0)=312,MAX($AA$4:AA315)+1,""))</f>
        <v/>
      </c>
    </row>
    <row r="317" spans="1:27">
      <c r="A317" s="9"/>
      <c r="Z317">
        <f>TRIM(A317&amp;"")</f>
        <v/>
      </c>
      <c r="AA317">
        <f>IF(Z317="","",IF(MATCH(SUBSTITUTE(SUBSTITUTE(SUBSTITUTE(Z317,"~","~~"),"*","~*"),"?","~?"),$Z$5:$Z$5004,0)=313,MAX($AA$4:AA316)+1,""))</f>
        <v/>
      </c>
    </row>
    <row r="318" spans="1:27">
      <c r="A318" s="9"/>
      <c r="Z318">
        <f>TRIM(A318&amp;"")</f>
        <v/>
      </c>
      <c r="AA318">
        <f>IF(Z318="","",IF(MATCH(SUBSTITUTE(SUBSTITUTE(SUBSTITUTE(Z318,"~","~~"),"*","~*"),"?","~?"),$Z$5:$Z$5004,0)=314,MAX($AA$4:AA317)+1,""))</f>
        <v/>
      </c>
    </row>
    <row r="319" spans="1:27">
      <c r="A319" s="9"/>
      <c r="Z319">
        <f>TRIM(A319&amp;"")</f>
        <v/>
      </c>
      <c r="AA319">
        <f>IF(Z319="","",IF(MATCH(SUBSTITUTE(SUBSTITUTE(SUBSTITUTE(Z319,"~","~~"),"*","~*"),"?","~?"),$Z$5:$Z$5004,0)=315,MAX($AA$4:AA318)+1,""))</f>
        <v/>
      </c>
    </row>
    <row r="320" spans="1:27">
      <c r="A320" s="9"/>
      <c r="Z320">
        <f>TRIM(A320&amp;"")</f>
        <v/>
      </c>
      <c r="AA320">
        <f>IF(Z320="","",IF(MATCH(SUBSTITUTE(SUBSTITUTE(SUBSTITUTE(Z320,"~","~~"),"*","~*"),"?","~?"),$Z$5:$Z$5004,0)=316,MAX($AA$4:AA319)+1,""))</f>
        <v/>
      </c>
    </row>
    <row r="321" spans="1:27">
      <c r="A321" s="9"/>
      <c r="Z321">
        <f>TRIM(A321&amp;"")</f>
        <v/>
      </c>
      <c r="AA321">
        <f>IF(Z321="","",IF(MATCH(SUBSTITUTE(SUBSTITUTE(SUBSTITUTE(Z321,"~","~~"),"*","~*"),"?","~?"),$Z$5:$Z$5004,0)=317,MAX($AA$4:AA320)+1,""))</f>
        <v/>
      </c>
    </row>
    <row r="322" spans="1:27">
      <c r="A322" s="9"/>
      <c r="Z322">
        <f>TRIM(A322&amp;"")</f>
        <v/>
      </c>
      <c r="AA322">
        <f>IF(Z322="","",IF(MATCH(SUBSTITUTE(SUBSTITUTE(SUBSTITUTE(Z322,"~","~~"),"*","~*"),"?","~?"),$Z$5:$Z$5004,0)=318,MAX($AA$4:AA321)+1,""))</f>
        <v/>
      </c>
    </row>
    <row r="323" spans="1:27">
      <c r="A323" s="9"/>
      <c r="Z323">
        <f>TRIM(A323&amp;"")</f>
        <v/>
      </c>
      <c r="AA323">
        <f>IF(Z323="","",IF(MATCH(SUBSTITUTE(SUBSTITUTE(SUBSTITUTE(Z323,"~","~~"),"*","~*"),"?","~?"),$Z$5:$Z$5004,0)=319,MAX($AA$4:AA322)+1,""))</f>
        <v/>
      </c>
    </row>
    <row r="324" spans="1:27">
      <c r="A324" s="9"/>
      <c r="Z324">
        <f>TRIM(A324&amp;"")</f>
        <v/>
      </c>
      <c r="AA324">
        <f>IF(Z324="","",IF(MATCH(SUBSTITUTE(SUBSTITUTE(SUBSTITUTE(Z324,"~","~~"),"*","~*"),"?","~?"),$Z$5:$Z$5004,0)=320,MAX($AA$4:AA323)+1,""))</f>
        <v/>
      </c>
    </row>
    <row r="325" spans="1:27">
      <c r="A325" s="9"/>
      <c r="Z325">
        <f>TRIM(A325&amp;"")</f>
        <v/>
      </c>
      <c r="AA325">
        <f>IF(Z325="","",IF(MATCH(SUBSTITUTE(SUBSTITUTE(SUBSTITUTE(Z325,"~","~~"),"*","~*"),"?","~?"),$Z$5:$Z$5004,0)=321,MAX($AA$4:AA324)+1,""))</f>
        <v/>
      </c>
    </row>
    <row r="326" spans="1:27">
      <c r="A326" s="9"/>
      <c r="Z326">
        <f>TRIM(A326&amp;"")</f>
        <v/>
      </c>
      <c r="AA326">
        <f>IF(Z326="","",IF(MATCH(SUBSTITUTE(SUBSTITUTE(SUBSTITUTE(Z326,"~","~~"),"*","~*"),"?","~?"),$Z$5:$Z$5004,0)=322,MAX($AA$4:AA325)+1,""))</f>
        <v/>
      </c>
    </row>
    <row r="327" spans="1:27">
      <c r="A327" s="9"/>
      <c r="Z327">
        <f>TRIM(A327&amp;"")</f>
        <v/>
      </c>
      <c r="AA327">
        <f>IF(Z327="","",IF(MATCH(SUBSTITUTE(SUBSTITUTE(SUBSTITUTE(Z327,"~","~~"),"*","~*"),"?","~?"),$Z$5:$Z$5004,0)=323,MAX($AA$4:AA326)+1,""))</f>
        <v/>
      </c>
    </row>
    <row r="328" spans="1:27">
      <c r="A328" s="9"/>
      <c r="Z328">
        <f>TRIM(A328&amp;"")</f>
        <v/>
      </c>
      <c r="AA328">
        <f>IF(Z328="","",IF(MATCH(SUBSTITUTE(SUBSTITUTE(SUBSTITUTE(Z328,"~","~~"),"*","~*"),"?","~?"),$Z$5:$Z$5004,0)=324,MAX($AA$4:AA327)+1,""))</f>
        <v/>
      </c>
    </row>
    <row r="329" spans="1:27">
      <c r="A329" s="9"/>
      <c r="Z329">
        <f>TRIM(A329&amp;"")</f>
        <v/>
      </c>
      <c r="AA329">
        <f>IF(Z329="","",IF(MATCH(SUBSTITUTE(SUBSTITUTE(SUBSTITUTE(Z329,"~","~~"),"*","~*"),"?","~?"),$Z$5:$Z$5004,0)=325,MAX($AA$4:AA328)+1,""))</f>
        <v/>
      </c>
    </row>
    <row r="330" spans="1:27">
      <c r="A330" s="9"/>
      <c r="Z330">
        <f>TRIM(A330&amp;"")</f>
        <v/>
      </c>
      <c r="AA330">
        <f>IF(Z330="","",IF(MATCH(SUBSTITUTE(SUBSTITUTE(SUBSTITUTE(Z330,"~","~~"),"*","~*"),"?","~?"),$Z$5:$Z$5004,0)=326,MAX($AA$4:AA329)+1,""))</f>
        <v/>
      </c>
    </row>
    <row r="331" spans="1:27">
      <c r="A331" s="9"/>
      <c r="Z331">
        <f>TRIM(A331&amp;"")</f>
        <v/>
      </c>
      <c r="AA331">
        <f>IF(Z331="","",IF(MATCH(SUBSTITUTE(SUBSTITUTE(SUBSTITUTE(Z331,"~","~~"),"*","~*"),"?","~?"),$Z$5:$Z$5004,0)=327,MAX($AA$4:AA330)+1,""))</f>
        <v/>
      </c>
    </row>
    <row r="332" spans="1:27">
      <c r="A332" s="9"/>
      <c r="Z332">
        <f>TRIM(A332&amp;"")</f>
        <v/>
      </c>
      <c r="AA332">
        <f>IF(Z332="","",IF(MATCH(SUBSTITUTE(SUBSTITUTE(SUBSTITUTE(Z332,"~","~~"),"*","~*"),"?","~?"),$Z$5:$Z$5004,0)=328,MAX($AA$4:AA331)+1,""))</f>
        <v/>
      </c>
    </row>
    <row r="333" spans="1:27">
      <c r="A333" s="9"/>
      <c r="Z333">
        <f>TRIM(A333&amp;"")</f>
        <v/>
      </c>
      <c r="AA333">
        <f>IF(Z333="","",IF(MATCH(SUBSTITUTE(SUBSTITUTE(SUBSTITUTE(Z333,"~","~~"),"*","~*"),"?","~?"),$Z$5:$Z$5004,0)=329,MAX($AA$4:AA332)+1,""))</f>
        <v/>
      </c>
    </row>
    <row r="334" spans="1:27">
      <c r="A334" s="9"/>
      <c r="Z334">
        <f>TRIM(A334&amp;"")</f>
        <v/>
      </c>
      <c r="AA334">
        <f>IF(Z334="","",IF(MATCH(SUBSTITUTE(SUBSTITUTE(SUBSTITUTE(Z334,"~","~~"),"*","~*"),"?","~?"),$Z$5:$Z$5004,0)=330,MAX($AA$4:AA333)+1,""))</f>
        <v/>
      </c>
    </row>
    <row r="335" spans="1:27">
      <c r="A335" s="9"/>
      <c r="Z335">
        <f>TRIM(A335&amp;"")</f>
        <v/>
      </c>
      <c r="AA335">
        <f>IF(Z335="","",IF(MATCH(SUBSTITUTE(SUBSTITUTE(SUBSTITUTE(Z335,"~","~~"),"*","~*"),"?","~?"),$Z$5:$Z$5004,0)=331,MAX($AA$4:AA334)+1,""))</f>
        <v/>
      </c>
    </row>
    <row r="336" spans="1:27">
      <c r="A336" s="9"/>
      <c r="Z336">
        <f>TRIM(A336&amp;"")</f>
        <v/>
      </c>
      <c r="AA336">
        <f>IF(Z336="","",IF(MATCH(SUBSTITUTE(SUBSTITUTE(SUBSTITUTE(Z336,"~","~~"),"*","~*"),"?","~?"),$Z$5:$Z$5004,0)=332,MAX($AA$4:AA335)+1,""))</f>
        <v/>
      </c>
    </row>
    <row r="337" spans="1:27">
      <c r="A337" s="9"/>
      <c r="Z337">
        <f>TRIM(A337&amp;"")</f>
        <v/>
      </c>
      <c r="AA337">
        <f>IF(Z337="","",IF(MATCH(SUBSTITUTE(SUBSTITUTE(SUBSTITUTE(Z337,"~","~~"),"*","~*"),"?","~?"),$Z$5:$Z$5004,0)=333,MAX($AA$4:AA336)+1,""))</f>
        <v/>
      </c>
    </row>
    <row r="338" spans="1:27">
      <c r="A338" s="9"/>
      <c r="Z338">
        <f>TRIM(A338&amp;"")</f>
        <v/>
      </c>
      <c r="AA338">
        <f>IF(Z338="","",IF(MATCH(SUBSTITUTE(SUBSTITUTE(SUBSTITUTE(Z338,"~","~~"),"*","~*"),"?","~?"),$Z$5:$Z$5004,0)=334,MAX($AA$4:AA337)+1,""))</f>
        <v/>
      </c>
    </row>
    <row r="339" spans="1:27">
      <c r="A339" s="9"/>
      <c r="Z339">
        <f>TRIM(A339&amp;"")</f>
        <v/>
      </c>
      <c r="AA339">
        <f>IF(Z339="","",IF(MATCH(SUBSTITUTE(SUBSTITUTE(SUBSTITUTE(Z339,"~","~~"),"*","~*"),"?","~?"),$Z$5:$Z$5004,0)=335,MAX($AA$4:AA338)+1,""))</f>
        <v/>
      </c>
    </row>
    <row r="340" spans="1:27">
      <c r="A340" s="9"/>
      <c r="Z340">
        <f>TRIM(A340&amp;"")</f>
        <v/>
      </c>
      <c r="AA340">
        <f>IF(Z340="","",IF(MATCH(SUBSTITUTE(SUBSTITUTE(SUBSTITUTE(Z340,"~","~~"),"*","~*"),"?","~?"),$Z$5:$Z$5004,0)=336,MAX($AA$4:AA339)+1,""))</f>
        <v/>
      </c>
    </row>
    <row r="341" spans="1:27">
      <c r="A341" s="9"/>
      <c r="Z341">
        <f>TRIM(A341&amp;"")</f>
        <v/>
      </c>
      <c r="AA341">
        <f>IF(Z341="","",IF(MATCH(SUBSTITUTE(SUBSTITUTE(SUBSTITUTE(Z341,"~","~~"),"*","~*"),"?","~?"),$Z$5:$Z$5004,0)=337,MAX($AA$4:AA340)+1,""))</f>
        <v/>
      </c>
    </row>
    <row r="342" spans="1:27">
      <c r="A342" s="9"/>
      <c r="Z342">
        <f>TRIM(A342&amp;"")</f>
        <v/>
      </c>
      <c r="AA342">
        <f>IF(Z342="","",IF(MATCH(SUBSTITUTE(SUBSTITUTE(SUBSTITUTE(Z342,"~","~~"),"*","~*"),"?","~?"),$Z$5:$Z$5004,0)=338,MAX($AA$4:AA341)+1,""))</f>
        <v/>
      </c>
    </row>
    <row r="343" spans="1:27">
      <c r="A343" s="9"/>
      <c r="Z343">
        <f>TRIM(A343&amp;"")</f>
        <v/>
      </c>
      <c r="AA343">
        <f>IF(Z343="","",IF(MATCH(SUBSTITUTE(SUBSTITUTE(SUBSTITUTE(Z343,"~","~~"),"*","~*"),"?","~?"),$Z$5:$Z$5004,0)=339,MAX($AA$4:AA342)+1,""))</f>
        <v/>
      </c>
    </row>
    <row r="344" spans="1:27">
      <c r="A344" s="9"/>
      <c r="Z344">
        <f>TRIM(A344&amp;"")</f>
        <v/>
      </c>
      <c r="AA344">
        <f>IF(Z344="","",IF(MATCH(SUBSTITUTE(SUBSTITUTE(SUBSTITUTE(Z344,"~","~~"),"*","~*"),"?","~?"),$Z$5:$Z$5004,0)=340,MAX($AA$4:AA343)+1,""))</f>
        <v/>
      </c>
    </row>
    <row r="345" spans="1:27">
      <c r="A345" s="9"/>
      <c r="Z345">
        <f>TRIM(A345&amp;"")</f>
        <v/>
      </c>
      <c r="AA345">
        <f>IF(Z345="","",IF(MATCH(SUBSTITUTE(SUBSTITUTE(SUBSTITUTE(Z345,"~","~~"),"*","~*"),"?","~?"),$Z$5:$Z$5004,0)=341,MAX($AA$4:AA344)+1,""))</f>
        <v/>
      </c>
    </row>
    <row r="346" spans="1:27">
      <c r="A346" s="9"/>
      <c r="Z346">
        <f>TRIM(A346&amp;"")</f>
        <v/>
      </c>
      <c r="AA346">
        <f>IF(Z346="","",IF(MATCH(SUBSTITUTE(SUBSTITUTE(SUBSTITUTE(Z346,"~","~~"),"*","~*"),"?","~?"),$Z$5:$Z$5004,0)=342,MAX($AA$4:AA345)+1,""))</f>
        <v/>
      </c>
    </row>
    <row r="347" spans="1:27">
      <c r="A347" s="9"/>
      <c r="Z347">
        <f>TRIM(A347&amp;"")</f>
        <v/>
      </c>
      <c r="AA347">
        <f>IF(Z347="","",IF(MATCH(SUBSTITUTE(SUBSTITUTE(SUBSTITUTE(Z347,"~","~~"),"*","~*"),"?","~?"),$Z$5:$Z$5004,0)=343,MAX($AA$4:AA346)+1,""))</f>
        <v/>
      </c>
    </row>
    <row r="348" spans="1:27">
      <c r="A348" s="9"/>
      <c r="Z348">
        <f>TRIM(A348&amp;"")</f>
        <v/>
      </c>
      <c r="AA348">
        <f>IF(Z348="","",IF(MATCH(SUBSTITUTE(SUBSTITUTE(SUBSTITUTE(Z348,"~","~~"),"*","~*"),"?","~?"),$Z$5:$Z$5004,0)=344,MAX($AA$4:AA347)+1,""))</f>
        <v/>
      </c>
    </row>
    <row r="349" spans="1:27">
      <c r="A349" s="9"/>
      <c r="Z349">
        <f>TRIM(A349&amp;"")</f>
        <v/>
      </c>
      <c r="AA349">
        <f>IF(Z349="","",IF(MATCH(SUBSTITUTE(SUBSTITUTE(SUBSTITUTE(Z349,"~","~~"),"*","~*"),"?","~?"),$Z$5:$Z$5004,0)=345,MAX($AA$4:AA348)+1,""))</f>
        <v/>
      </c>
    </row>
    <row r="350" spans="1:27">
      <c r="A350" s="9"/>
      <c r="Z350">
        <f>TRIM(A350&amp;"")</f>
        <v/>
      </c>
      <c r="AA350">
        <f>IF(Z350="","",IF(MATCH(SUBSTITUTE(SUBSTITUTE(SUBSTITUTE(Z350,"~","~~"),"*","~*"),"?","~?"),$Z$5:$Z$5004,0)=346,MAX($AA$4:AA349)+1,""))</f>
        <v/>
      </c>
    </row>
    <row r="351" spans="1:27">
      <c r="A351" s="9"/>
      <c r="Z351">
        <f>TRIM(A351&amp;"")</f>
        <v/>
      </c>
      <c r="AA351">
        <f>IF(Z351="","",IF(MATCH(SUBSTITUTE(SUBSTITUTE(SUBSTITUTE(Z351,"~","~~"),"*","~*"),"?","~?"),$Z$5:$Z$5004,0)=347,MAX($AA$4:AA350)+1,""))</f>
        <v/>
      </c>
    </row>
    <row r="352" spans="1:27">
      <c r="A352" s="9"/>
      <c r="Z352">
        <f>TRIM(A352&amp;"")</f>
        <v/>
      </c>
      <c r="AA352">
        <f>IF(Z352="","",IF(MATCH(SUBSTITUTE(SUBSTITUTE(SUBSTITUTE(Z352,"~","~~"),"*","~*"),"?","~?"),$Z$5:$Z$5004,0)=348,MAX($AA$4:AA351)+1,""))</f>
        <v/>
      </c>
    </row>
    <row r="353" spans="1:27">
      <c r="A353" s="9"/>
      <c r="Z353">
        <f>TRIM(A353&amp;"")</f>
        <v/>
      </c>
      <c r="AA353">
        <f>IF(Z353="","",IF(MATCH(SUBSTITUTE(SUBSTITUTE(SUBSTITUTE(Z353,"~","~~"),"*","~*"),"?","~?"),$Z$5:$Z$5004,0)=349,MAX($AA$4:AA352)+1,""))</f>
        <v/>
      </c>
    </row>
    <row r="354" spans="1:27">
      <c r="A354" s="9"/>
      <c r="Z354">
        <f>TRIM(A354&amp;"")</f>
        <v/>
      </c>
      <c r="AA354">
        <f>IF(Z354="","",IF(MATCH(SUBSTITUTE(SUBSTITUTE(SUBSTITUTE(Z354,"~","~~"),"*","~*"),"?","~?"),$Z$5:$Z$5004,0)=350,MAX($AA$4:AA353)+1,""))</f>
        <v/>
      </c>
    </row>
    <row r="355" spans="1:27">
      <c r="A355" s="9"/>
      <c r="Z355">
        <f>TRIM(A355&amp;"")</f>
        <v/>
      </c>
      <c r="AA355">
        <f>IF(Z355="","",IF(MATCH(SUBSTITUTE(SUBSTITUTE(SUBSTITUTE(Z355,"~","~~"),"*","~*"),"?","~?"),$Z$5:$Z$5004,0)=351,MAX($AA$4:AA354)+1,""))</f>
        <v/>
      </c>
    </row>
    <row r="356" spans="1:27">
      <c r="A356" s="9"/>
      <c r="Z356">
        <f>TRIM(A356&amp;"")</f>
        <v/>
      </c>
      <c r="AA356">
        <f>IF(Z356="","",IF(MATCH(SUBSTITUTE(SUBSTITUTE(SUBSTITUTE(Z356,"~","~~"),"*","~*"),"?","~?"),$Z$5:$Z$5004,0)=352,MAX($AA$4:AA355)+1,""))</f>
        <v/>
      </c>
    </row>
    <row r="357" spans="1:27">
      <c r="A357" s="9"/>
      <c r="Z357">
        <f>TRIM(A357&amp;"")</f>
        <v/>
      </c>
      <c r="AA357">
        <f>IF(Z357="","",IF(MATCH(SUBSTITUTE(SUBSTITUTE(SUBSTITUTE(Z357,"~","~~"),"*","~*"),"?","~?"),$Z$5:$Z$5004,0)=353,MAX($AA$4:AA356)+1,""))</f>
        <v/>
      </c>
    </row>
    <row r="358" spans="1:27">
      <c r="A358" s="9"/>
      <c r="Z358">
        <f>TRIM(A358&amp;"")</f>
        <v/>
      </c>
      <c r="AA358">
        <f>IF(Z358="","",IF(MATCH(SUBSTITUTE(SUBSTITUTE(SUBSTITUTE(Z358,"~","~~"),"*","~*"),"?","~?"),$Z$5:$Z$5004,0)=354,MAX($AA$4:AA357)+1,""))</f>
        <v/>
      </c>
    </row>
    <row r="359" spans="1:27">
      <c r="A359" s="9"/>
      <c r="Z359">
        <f>TRIM(A359&amp;"")</f>
        <v/>
      </c>
      <c r="AA359">
        <f>IF(Z359="","",IF(MATCH(SUBSTITUTE(SUBSTITUTE(SUBSTITUTE(Z359,"~","~~"),"*","~*"),"?","~?"),$Z$5:$Z$5004,0)=355,MAX($AA$4:AA358)+1,""))</f>
        <v/>
      </c>
    </row>
    <row r="360" spans="1:27">
      <c r="A360" s="9"/>
      <c r="Z360">
        <f>TRIM(A360&amp;"")</f>
        <v/>
      </c>
      <c r="AA360">
        <f>IF(Z360="","",IF(MATCH(SUBSTITUTE(SUBSTITUTE(SUBSTITUTE(Z360,"~","~~"),"*","~*"),"?","~?"),$Z$5:$Z$5004,0)=356,MAX($AA$4:AA359)+1,""))</f>
        <v/>
      </c>
    </row>
    <row r="361" spans="1:27">
      <c r="A361" s="9"/>
      <c r="Z361">
        <f>TRIM(A361&amp;"")</f>
        <v/>
      </c>
      <c r="AA361">
        <f>IF(Z361="","",IF(MATCH(SUBSTITUTE(SUBSTITUTE(SUBSTITUTE(Z361,"~","~~"),"*","~*"),"?","~?"),$Z$5:$Z$5004,0)=357,MAX($AA$4:AA360)+1,""))</f>
        <v/>
      </c>
    </row>
    <row r="362" spans="1:27">
      <c r="A362" s="9"/>
      <c r="Z362">
        <f>TRIM(A362&amp;"")</f>
        <v/>
      </c>
      <c r="AA362">
        <f>IF(Z362="","",IF(MATCH(SUBSTITUTE(SUBSTITUTE(SUBSTITUTE(Z362,"~","~~"),"*","~*"),"?","~?"),$Z$5:$Z$5004,0)=358,MAX($AA$4:AA361)+1,""))</f>
        <v/>
      </c>
    </row>
    <row r="363" spans="1:27">
      <c r="A363" s="9"/>
      <c r="Z363">
        <f>TRIM(A363&amp;"")</f>
        <v/>
      </c>
      <c r="AA363">
        <f>IF(Z363="","",IF(MATCH(SUBSTITUTE(SUBSTITUTE(SUBSTITUTE(Z363,"~","~~"),"*","~*"),"?","~?"),$Z$5:$Z$5004,0)=359,MAX($AA$4:AA362)+1,""))</f>
        <v/>
      </c>
    </row>
    <row r="364" spans="1:27">
      <c r="A364" s="9"/>
      <c r="Z364">
        <f>TRIM(A364&amp;"")</f>
        <v/>
      </c>
      <c r="AA364">
        <f>IF(Z364="","",IF(MATCH(SUBSTITUTE(SUBSTITUTE(SUBSTITUTE(Z364,"~","~~"),"*","~*"),"?","~?"),$Z$5:$Z$5004,0)=360,MAX($AA$4:AA363)+1,""))</f>
        <v/>
      </c>
    </row>
    <row r="365" spans="1:27">
      <c r="A365" s="9"/>
      <c r="Z365">
        <f>TRIM(A365&amp;"")</f>
        <v/>
      </c>
      <c r="AA365">
        <f>IF(Z365="","",IF(MATCH(SUBSTITUTE(SUBSTITUTE(SUBSTITUTE(Z365,"~","~~"),"*","~*"),"?","~?"),$Z$5:$Z$5004,0)=361,MAX($AA$4:AA364)+1,""))</f>
        <v/>
      </c>
    </row>
    <row r="366" spans="1:27">
      <c r="A366" s="9"/>
      <c r="Z366">
        <f>TRIM(A366&amp;"")</f>
        <v/>
      </c>
      <c r="AA366">
        <f>IF(Z366="","",IF(MATCH(SUBSTITUTE(SUBSTITUTE(SUBSTITUTE(Z366,"~","~~"),"*","~*"),"?","~?"),$Z$5:$Z$5004,0)=362,MAX($AA$4:AA365)+1,""))</f>
        <v/>
      </c>
    </row>
    <row r="367" spans="1:27">
      <c r="A367" s="9"/>
      <c r="Z367">
        <f>TRIM(A367&amp;"")</f>
        <v/>
      </c>
      <c r="AA367">
        <f>IF(Z367="","",IF(MATCH(SUBSTITUTE(SUBSTITUTE(SUBSTITUTE(Z367,"~","~~"),"*","~*"),"?","~?"),$Z$5:$Z$5004,0)=363,MAX($AA$4:AA366)+1,""))</f>
        <v/>
      </c>
    </row>
    <row r="368" spans="1:27">
      <c r="A368" s="9"/>
      <c r="Z368">
        <f>TRIM(A368&amp;"")</f>
        <v/>
      </c>
      <c r="AA368">
        <f>IF(Z368="","",IF(MATCH(SUBSTITUTE(SUBSTITUTE(SUBSTITUTE(Z368,"~","~~"),"*","~*"),"?","~?"),$Z$5:$Z$5004,0)=364,MAX($AA$4:AA367)+1,""))</f>
        <v/>
      </c>
    </row>
    <row r="369" spans="1:27">
      <c r="A369" s="9"/>
      <c r="Z369">
        <f>TRIM(A369&amp;"")</f>
        <v/>
      </c>
      <c r="AA369">
        <f>IF(Z369="","",IF(MATCH(SUBSTITUTE(SUBSTITUTE(SUBSTITUTE(Z369,"~","~~"),"*","~*"),"?","~?"),$Z$5:$Z$5004,0)=365,MAX($AA$4:AA368)+1,""))</f>
        <v/>
      </c>
    </row>
    <row r="370" spans="1:27">
      <c r="A370" s="9"/>
      <c r="Z370">
        <f>TRIM(A370&amp;"")</f>
        <v/>
      </c>
      <c r="AA370">
        <f>IF(Z370="","",IF(MATCH(SUBSTITUTE(SUBSTITUTE(SUBSTITUTE(Z370,"~","~~"),"*","~*"),"?","~?"),$Z$5:$Z$5004,0)=366,MAX($AA$4:AA369)+1,""))</f>
        <v/>
      </c>
    </row>
    <row r="371" spans="1:27">
      <c r="A371" s="9"/>
      <c r="Z371">
        <f>TRIM(A371&amp;"")</f>
        <v/>
      </c>
      <c r="AA371">
        <f>IF(Z371="","",IF(MATCH(SUBSTITUTE(SUBSTITUTE(SUBSTITUTE(Z371,"~","~~"),"*","~*"),"?","~?"),$Z$5:$Z$5004,0)=367,MAX($AA$4:AA370)+1,""))</f>
        <v/>
      </c>
    </row>
    <row r="372" spans="1:27">
      <c r="A372" s="9"/>
      <c r="Z372">
        <f>TRIM(A372&amp;"")</f>
        <v/>
      </c>
      <c r="AA372">
        <f>IF(Z372="","",IF(MATCH(SUBSTITUTE(SUBSTITUTE(SUBSTITUTE(Z372,"~","~~"),"*","~*"),"?","~?"),$Z$5:$Z$5004,0)=368,MAX($AA$4:AA371)+1,""))</f>
        <v/>
      </c>
    </row>
    <row r="373" spans="1:27">
      <c r="A373" s="9"/>
      <c r="Z373">
        <f>TRIM(A373&amp;"")</f>
        <v/>
      </c>
      <c r="AA373">
        <f>IF(Z373="","",IF(MATCH(SUBSTITUTE(SUBSTITUTE(SUBSTITUTE(Z373,"~","~~"),"*","~*"),"?","~?"),$Z$5:$Z$5004,0)=369,MAX($AA$4:AA372)+1,""))</f>
        <v/>
      </c>
    </row>
    <row r="374" spans="1:27">
      <c r="A374" s="9"/>
      <c r="Z374">
        <f>TRIM(A374&amp;"")</f>
        <v/>
      </c>
      <c r="AA374">
        <f>IF(Z374="","",IF(MATCH(SUBSTITUTE(SUBSTITUTE(SUBSTITUTE(Z374,"~","~~"),"*","~*"),"?","~?"),$Z$5:$Z$5004,0)=370,MAX($AA$4:AA373)+1,""))</f>
        <v/>
      </c>
    </row>
    <row r="375" spans="1:27">
      <c r="A375" s="9"/>
      <c r="Z375">
        <f>TRIM(A375&amp;"")</f>
        <v/>
      </c>
      <c r="AA375">
        <f>IF(Z375="","",IF(MATCH(SUBSTITUTE(SUBSTITUTE(SUBSTITUTE(Z375,"~","~~"),"*","~*"),"?","~?"),$Z$5:$Z$5004,0)=371,MAX($AA$4:AA374)+1,""))</f>
        <v/>
      </c>
    </row>
    <row r="376" spans="1:27">
      <c r="A376" s="9"/>
      <c r="Z376">
        <f>TRIM(A376&amp;"")</f>
        <v/>
      </c>
      <c r="AA376">
        <f>IF(Z376="","",IF(MATCH(SUBSTITUTE(SUBSTITUTE(SUBSTITUTE(Z376,"~","~~"),"*","~*"),"?","~?"),$Z$5:$Z$5004,0)=372,MAX($AA$4:AA375)+1,""))</f>
        <v/>
      </c>
    </row>
    <row r="377" spans="1:27">
      <c r="A377" s="9"/>
      <c r="Z377">
        <f>TRIM(A377&amp;"")</f>
        <v/>
      </c>
      <c r="AA377">
        <f>IF(Z377="","",IF(MATCH(SUBSTITUTE(SUBSTITUTE(SUBSTITUTE(Z377,"~","~~"),"*","~*"),"?","~?"),$Z$5:$Z$5004,0)=373,MAX($AA$4:AA376)+1,""))</f>
        <v/>
      </c>
    </row>
    <row r="378" spans="1:27">
      <c r="A378" s="9"/>
      <c r="Z378">
        <f>TRIM(A378&amp;"")</f>
        <v/>
      </c>
      <c r="AA378">
        <f>IF(Z378="","",IF(MATCH(SUBSTITUTE(SUBSTITUTE(SUBSTITUTE(Z378,"~","~~"),"*","~*"),"?","~?"),$Z$5:$Z$5004,0)=374,MAX($AA$4:AA377)+1,""))</f>
        <v/>
      </c>
    </row>
    <row r="379" spans="1:27">
      <c r="A379" s="9"/>
      <c r="Z379">
        <f>TRIM(A379&amp;"")</f>
        <v/>
      </c>
      <c r="AA379">
        <f>IF(Z379="","",IF(MATCH(SUBSTITUTE(SUBSTITUTE(SUBSTITUTE(Z379,"~","~~"),"*","~*"),"?","~?"),$Z$5:$Z$5004,0)=375,MAX($AA$4:AA378)+1,""))</f>
        <v/>
      </c>
    </row>
    <row r="380" spans="1:27">
      <c r="A380" s="9"/>
      <c r="Z380">
        <f>TRIM(A380&amp;"")</f>
        <v/>
      </c>
      <c r="AA380">
        <f>IF(Z380="","",IF(MATCH(SUBSTITUTE(SUBSTITUTE(SUBSTITUTE(Z380,"~","~~"),"*","~*"),"?","~?"),$Z$5:$Z$5004,0)=376,MAX($AA$4:AA379)+1,""))</f>
        <v/>
      </c>
    </row>
    <row r="381" spans="1:27">
      <c r="A381" s="9"/>
      <c r="Z381">
        <f>TRIM(A381&amp;"")</f>
        <v/>
      </c>
      <c r="AA381">
        <f>IF(Z381="","",IF(MATCH(SUBSTITUTE(SUBSTITUTE(SUBSTITUTE(Z381,"~","~~"),"*","~*"),"?","~?"),$Z$5:$Z$5004,0)=377,MAX($AA$4:AA380)+1,""))</f>
        <v/>
      </c>
    </row>
    <row r="382" spans="1:27">
      <c r="A382" s="9"/>
      <c r="Z382">
        <f>TRIM(A382&amp;"")</f>
        <v/>
      </c>
      <c r="AA382">
        <f>IF(Z382="","",IF(MATCH(SUBSTITUTE(SUBSTITUTE(SUBSTITUTE(Z382,"~","~~"),"*","~*"),"?","~?"),$Z$5:$Z$5004,0)=378,MAX($AA$4:AA381)+1,""))</f>
        <v/>
      </c>
    </row>
    <row r="383" spans="1:27">
      <c r="A383" s="9"/>
      <c r="Z383">
        <f>TRIM(A383&amp;"")</f>
        <v/>
      </c>
      <c r="AA383">
        <f>IF(Z383="","",IF(MATCH(SUBSTITUTE(SUBSTITUTE(SUBSTITUTE(Z383,"~","~~"),"*","~*"),"?","~?"),$Z$5:$Z$5004,0)=379,MAX($AA$4:AA382)+1,""))</f>
        <v/>
      </c>
    </row>
    <row r="384" spans="1:27">
      <c r="A384" s="9"/>
      <c r="Z384">
        <f>TRIM(A384&amp;"")</f>
        <v/>
      </c>
      <c r="AA384">
        <f>IF(Z384="","",IF(MATCH(SUBSTITUTE(SUBSTITUTE(SUBSTITUTE(Z384,"~","~~"),"*","~*"),"?","~?"),$Z$5:$Z$5004,0)=380,MAX($AA$4:AA383)+1,""))</f>
        <v/>
      </c>
    </row>
    <row r="385" spans="1:27">
      <c r="A385" s="9"/>
      <c r="Z385">
        <f>TRIM(A385&amp;"")</f>
        <v/>
      </c>
      <c r="AA385">
        <f>IF(Z385="","",IF(MATCH(SUBSTITUTE(SUBSTITUTE(SUBSTITUTE(Z385,"~","~~"),"*","~*"),"?","~?"),$Z$5:$Z$5004,0)=381,MAX($AA$4:AA384)+1,""))</f>
        <v/>
      </c>
    </row>
    <row r="386" spans="1:27">
      <c r="A386" s="9"/>
      <c r="Z386">
        <f>TRIM(A386&amp;"")</f>
        <v/>
      </c>
      <c r="AA386">
        <f>IF(Z386="","",IF(MATCH(SUBSTITUTE(SUBSTITUTE(SUBSTITUTE(Z386,"~","~~"),"*","~*"),"?","~?"),$Z$5:$Z$5004,0)=382,MAX($AA$4:AA385)+1,""))</f>
        <v/>
      </c>
    </row>
    <row r="387" spans="1:27">
      <c r="A387" s="9"/>
      <c r="Z387">
        <f>TRIM(A387&amp;"")</f>
        <v/>
      </c>
      <c r="AA387">
        <f>IF(Z387="","",IF(MATCH(SUBSTITUTE(SUBSTITUTE(SUBSTITUTE(Z387,"~","~~"),"*","~*"),"?","~?"),$Z$5:$Z$5004,0)=383,MAX($AA$4:AA386)+1,""))</f>
        <v/>
      </c>
    </row>
    <row r="388" spans="1:27">
      <c r="A388" s="9"/>
      <c r="Z388">
        <f>TRIM(A388&amp;"")</f>
        <v/>
      </c>
      <c r="AA388">
        <f>IF(Z388="","",IF(MATCH(SUBSTITUTE(SUBSTITUTE(SUBSTITUTE(Z388,"~","~~"),"*","~*"),"?","~?"),$Z$5:$Z$5004,0)=384,MAX($AA$4:AA387)+1,""))</f>
        <v/>
      </c>
    </row>
    <row r="389" spans="1:27">
      <c r="A389" s="9"/>
      <c r="Z389">
        <f>TRIM(A389&amp;"")</f>
        <v/>
      </c>
      <c r="AA389">
        <f>IF(Z389="","",IF(MATCH(SUBSTITUTE(SUBSTITUTE(SUBSTITUTE(Z389,"~","~~"),"*","~*"),"?","~?"),$Z$5:$Z$5004,0)=385,MAX($AA$4:AA388)+1,""))</f>
        <v/>
      </c>
    </row>
    <row r="390" spans="1:27">
      <c r="A390" s="9"/>
      <c r="Z390">
        <f>TRIM(A390&amp;"")</f>
        <v/>
      </c>
      <c r="AA390">
        <f>IF(Z390="","",IF(MATCH(SUBSTITUTE(SUBSTITUTE(SUBSTITUTE(Z390,"~","~~"),"*","~*"),"?","~?"),$Z$5:$Z$5004,0)=386,MAX($AA$4:AA389)+1,""))</f>
        <v/>
      </c>
    </row>
    <row r="391" spans="1:27">
      <c r="A391" s="9"/>
      <c r="Z391">
        <f>TRIM(A391&amp;"")</f>
        <v/>
      </c>
      <c r="AA391">
        <f>IF(Z391="","",IF(MATCH(SUBSTITUTE(SUBSTITUTE(SUBSTITUTE(Z391,"~","~~"),"*","~*"),"?","~?"),$Z$5:$Z$5004,0)=387,MAX($AA$4:AA390)+1,""))</f>
        <v/>
      </c>
    </row>
    <row r="392" spans="1:27">
      <c r="A392" s="9"/>
      <c r="Z392">
        <f>TRIM(A392&amp;"")</f>
        <v/>
      </c>
      <c r="AA392">
        <f>IF(Z392="","",IF(MATCH(SUBSTITUTE(SUBSTITUTE(SUBSTITUTE(Z392,"~","~~"),"*","~*"),"?","~?"),$Z$5:$Z$5004,0)=388,MAX($AA$4:AA391)+1,""))</f>
        <v/>
      </c>
    </row>
    <row r="393" spans="1:27">
      <c r="A393" s="9"/>
      <c r="Z393">
        <f>TRIM(A393&amp;"")</f>
        <v/>
      </c>
      <c r="AA393">
        <f>IF(Z393="","",IF(MATCH(SUBSTITUTE(SUBSTITUTE(SUBSTITUTE(Z393,"~","~~"),"*","~*"),"?","~?"),$Z$5:$Z$5004,0)=389,MAX($AA$4:AA392)+1,""))</f>
        <v/>
      </c>
    </row>
    <row r="394" spans="1:27">
      <c r="A394" s="9"/>
      <c r="Z394">
        <f>TRIM(A394&amp;"")</f>
        <v/>
      </c>
      <c r="AA394">
        <f>IF(Z394="","",IF(MATCH(SUBSTITUTE(SUBSTITUTE(SUBSTITUTE(Z394,"~","~~"),"*","~*"),"?","~?"),$Z$5:$Z$5004,0)=390,MAX($AA$4:AA393)+1,""))</f>
        <v/>
      </c>
    </row>
    <row r="395" spans="1:27">
      <c r="A395" s="9"/>
      <c r="Z395">
        <f>TRIM(A395&amp;"")</f>
        <v/>
      </c>
      <c r="AA395">
        <f>IF(Z395="","",IF(MATCH(SUBSTITUTE(SUBSTITUTE(SUBSTITUTE(Z395,"~","~~"),"*","~*"),"?","~?"),$Z$5:$Z$5004,0)=391,MAX($AA$4:AA394)+1,""))</f>
        <v/>
      </c>
    </row>
    <row r="396" spans="1:27">
      <c r="A396" s="9"/>
      <c r="Z396">
        <f>TRIM(A396&amp;"")</f>
        <v/>
      </c>
      <c r="AA396">
        <f>IF(Z396="","",IF(MATCH(SUBSTITUTE(SUBSTITUTE(SUBSTITUTE(Z396,"~","~~"),"*","~*"),"?","~?"),$Z$5:$Z$5004,0)=392,MAX($AA$4:AA395)+1,""))</f>
        <v/>
      </c>
    </row>
    <row r="397" spans="1:27">
      <c r="A397" s="9"/>
      <c r="Z397">
        <f>TRIM(A397&amp;"")</f>
        <v/>
      </c>
      <c r="AA397">
        <f>IF(Z397="","",IF(MATCH(SUBSTITUTE(SUBSTITUTE(SUBSTITUTE(Z397,"~","~~"),"*","~*"),"?","~?"),$Z$5:$Z$5004,0)=393,MAX($AA$4:AA396)+1,""))</f>
        <v/>
      </c>
    </row>
    <row r="398" spans="1:27">
      <c r="A398" s="9"/>
      <c r="Z398">
        <f>TRIM(A398&amp;"")</f>
        <v/>
      </c>
      <c r="AA398">
        <f>IF(Z398="","",IF(MATCH(SUBSTITUTE(SUBSTITUTE(SUBSTITUTE(Z398,"~","~~"),"*","~*"),"?","~?"),$Z$5:$Z$5004,0)=394,MAX($AA$4:AA397)+1,""))</f>
        <v/>
      </c>
    </row>
    <row r="399" spans="1:27">
      <c r="A399" s="9"/>
      <c r="Z399">
        <f>TRIM(A399&amp;"")</f>
        <v/>
      </c>
      <c r="AA399">
        <f>IF(Z399="","",IF(MATCH(SUBSTITUTE(SUBSTITUTE(SUBSTITUTE(Z399,"~","~~"),"*","~*"),"?","~?"),$Z$5:$Z$5004,0)=395,MAX($AA$4:AA398)+1,""))</f>
        <v/>
      </c>
    </row>
    <row r="400" spans="1:27">
      <c r="A400" s="9"/>
      <c r="Z400">
        <f>TRIM(A400&amp;"")</f>
        <v/>
      </c>
      <c r="AA400">
        <f>IF(Z400="","",IF(MATCH(SUBSTITUTE(SUBSTITUTE(SUBSTITUTE(Z400,"~","~~"),"*","~*"),"?","~?"),$Z$5:$Z$5004,0)=396,MAX($AA$4:AA399)+1,""))</f>
        <v/>
      </c>
    </row>
    <row r="401" spans="1:27">
      <c r="A401" s="9"/>
      <c r="Z401">
        <f>TRIM(A401&amp;"")</f>
        <v/>
      </c>
      <c r="AA401">
        <f>IF(Z401="","",IF(MATCH(SUBSTITUTE(SUBSTITUTE(SUBSTITUTE(Z401,"~","~~"),"*","~*"),"?","~?"),$Z$5:$Z$5004,0)=397,MAX($AA$4:AA400)+1,""))</f>
        <v/>
      </c>
    </row>
    <row r="402" spans="1:27">
      <c r="A402" s="9"/>
      <c r="Z402">
        <f>TRIM(A402&amp;"")</f>
        <v/>
      </c>
      <c r="AA402">
        <f>IF(Z402="","",IF(MATCH(SUBSTITUTE(SUBSTITUTE(SUBSTITUTE(Z402,"~","~~"),"*","~*"),"?","~?"),$Z$5:$Z$5004,0)=398,MAX($AA$4:AA401)+1,""))</f>
        <v/>
      </c>
    </row>
    <row r="403" spans="1:27">
      <c r="A403" s="9"/>
      <c r="Z403">
        <f>TRIM(A403&amp;"")</f>
        <v/>
      </c>
      <c r="AA403">
        <f>IF(Z403="","",IF(MATCH(SUBSTITUTE(SUBSTITUTE(SUBSTITUTE(Z403,"~","~~"),"*","~*"),"?","~?"),$Z$5:$Z$5004,0)=399,MAX($AA$4:AA402)+1,""))</f>
        <v/>
      </c>
    </row>
    <row r="404" spans="1:27">
      <c r="A404" s="9"/>
      <c r="Z404">
        <f>TRIM(A404&amp;"")</f>
        <v/>
      </c>
      <c r="AA404">
        <f>IF(Z404="","",IF(MATCH(SUBSTITUTE(SUBSTITUTE(SUBSTITUTE(Z404,"~","~~"),"*","~*"),"?","~?"),$Z$5:$Z$5004,0)=400,MAX($AA$4:AA403)+1,""))</f>
        <v/>
      </c>
    </row>
    <row r="405" spans="1:27">
      <c r="A405" s="9"/>
      <c r="Z405">
        <f>TRIM(A405&amp;"")</f>
        <v/>
      </c>
      <c r="AA405">
        <f>IF(Z405="","",IF(MATCH(SUBSTITUTE(SUBSTITUTE(SUBSTITUTE(Z405,"~","~~"),"*","~*"),"?","~?"),$Z$5:$Z$5004,0)=401,MAX($AA$4:AA404)+1,""))</f>
        <v/>
      </c>
    </row>
    <row r="406" spans="1:27">
      <c r="A406" s="9"/>
      <c r="Z406">
        <f>TRIM(A406&amp;"")</f>
        <v/>
      </c>
      <c r="AA406">
        <f>IF(Z406="","",IF(MATCH(SUBSTITUTE(SUBSTITUTE(SUBSTITUTE(Z406,"~","~~"),"*","~*"),"?","~?"),$Z$5:$Z$5004,0)=402,MAX($AA$4:AA405)+1,""))</f>
        <v/>
      </c>
    </row>
    <row r="407" spans="1:27">
      <c r="A407" s="9"/>
      <c r="Z407">
        <f>TRIM(A407&amp;"")</f>
        <v/>
      </c>
      <c r="AA407">
        <f>IF(Z407="","",IF(MATCH(SUBSTITUTE(SUBSTITUTE(SUBSTITUTE(Z407,"~","~~"),"*","~*"),"?","~?"),$Z$5:$Z$5004,0)=403,MAX($AA$4:AA406)+1,""))</f>
        <v/>
      </c>
    </row>
    <row r="408" spans="1:27">
      <c r="A408" s="9"/>
      <c r="Z408">
        <f>TRIM(A408&amp;"")</f>
        <v/>
      </c>
      <c r="AA408">
        <f>IF(Z408="","",IF(MATCH(SUBSTITUTE(SUBSTITUTE(SUBSTITUTE(Z408,"~","~~"),"*","~*"),"?","~?"),$Z$5:$Z$5004,0)=404,MAX($AA$4:AA407)+1,""))</f>
        <v/>
      </c>
    </row>
    <row r="409" spans="1:27">
      <c r="A409" s="9"/>
      <c r="Z409">
        <f>TRIM(A409&amp;"")</f>
        <v/>
      </c>
      <c r="AA409">
        <f>IF(Z409="","",IF(MATCH(SUBSTITUTE(SUBSTITUTE(SUBSTITUTE(Z409,"~","~~"),"*","~*"),"?","~?"),$Z$5:$Z$5004,0)=405,MAX($AA$4:AA408)+1,""))</f>
        <v/>
      </c>
    </row>
    <row r="410" spans="1:27">
      <c r="A410" s="9"/>
      <c r="Z410">
        <f>TRIM(A410&amp;"")</f>
        <v/>
      </c>
      <c r="AA410">
        <f>IF(Z410="","",IF(MATCH(SUBSTITUTE(SUBSTITUTE(SUBSTITUTE(Z410,"~","~~"),"*","~*"),"?","~?"),$Z$5:$Z$5004,0)=406,MAX($AA$4:AA409)+1,""))</f>
        <v/>
      </c>
    </row>
    <row r="411" spans="1:27">
      <c r="A411" s="9"/>
      <c r="Z411">
        <f>TRIM(A411&amp;"")</f>
        <v/>
      </c>
      <c r="AA411">
        <f>IF(Z411="","",IF(MATCH(SUBSTITUTE(SUBSTITUTE(SUBSTITUTE(Z411,"~","~~"),"*","~*"),"?","~?"),$Z$5:$Z$5004,0)=407,MAX($AA$4:AA410)+1,""))</f>
        <v/>
      </c>
    </row>
    <row r="412" spans="1:27">
      <c r="A412" s="9"/>
      <c r="Z412">
        <f>TRIM(A412&amp;"")</f>
        <v/>
      </c>
      <c r="AA412">
        <f>IF(Z412="","",IF(MATCH(SUBSTITUTE(SUBSTITUTE(SUBSTITUTE(Z412,"~","~~"),"*","~*"),"?","~?"),$Z$5:$Z$5004,0)=408,MAX($AA$4:AA411)+1,""))</f>
        <v/>
      </c>
    </row>
    <row r="413" spans="1:27">
      <c r="A413" s="9"/>
      <c r="Z413">
        <f>TRIM(A413&amp;"")</f>
        <v/>
      </c>
      <c r="AA413">
        <f>IF(Z413="","",IF(MATCH(SUBSTITUTE(SUBSTITUTE(SUBSTITUTE(Z413,"~","~~"),"*","~*"),"?","~?"),$Z$5:$Z$5004,0)=409,MAX($AA$4:AA412)+1,""))</f>
        <v/>
      </c>
    </row>
    <row r="414" spans="1:27">
      <c r="A414" s="9"/>
      <c r="Z414">
        <f>TRIM(A414&amp;"")</f>
        <v/>
      </c>
      <c r="AA414">
        <f>IF(Z414="","",IF(MATCH(SUBSTITUTE(SUBSTITUTE(SUBSTITUTE(Z414,"~","~~"),"*","~*"),"?","~?"),$Z$5:$Z$5004,0)=410,MAX($AA$4:AA413)+1,""))</f>
        <v/>
      </c>
    </row>
    <row r="415" spans="1:27">
      <c r="A415" s="9"/>
      <c r="Z415">
        <f>TRIM(A415&amp;"")</f>
        <v/>
      </c>
      <c r="AA415">
        <f>IF(Z415="","",IF(MATCH(SUBSTITUTE(SUBSTITUTE(SUBSTITUTE(Z415,"~","~~"),"*","~*"),"?","~?"),$Z$5:$Z$5004,0)=411,MAX($AA$4:AA414)+1,""))</f>
        <v/>
      </c>
    </row>
    <row r="416" spans="1:27">
      <c r="A416" s="9"/>
      <c r="Z416">
        <f>TRIM(A416&amp;"")</f>
        <v/>
      </c>
      <c r="AA416">
        <f>IF(Z416="","",IF(MATCH(SUBSTITUTE(SUBSTITUTE(SUBSTITUTE(Z416,"~","~~"),"*","~*"),"?","~?"),$Z$5:$Z$5004,0)=412,MAX($AA$4:AA415)+1,""))</f>
        <v/>
      </c>
    </row>
    <row r="417" spans="1:27">
      <c r="A417" s="9"/>
      <c r="Z417">
        <f>TRIM(A417&amp;"")</f>
        <v/>
      </c>
      <c r="AA417">
        <f>IF(Z417="","",IF(MATCH(SUBSTITUTE(SUBSTITUTE(SUBSTITUTE(Z417,"~","~~"),"*","~*"),"?","~?"),$Z$5:$Z$5004,0)=413,MAX($AA$4:AA416)+1,""))</f>
        <v/>
      </c>
    </row>
    <row r="418" spans="1:27">
      <c r="A418" s="9"/>
      <c r="Z418">
        <f>TRIM(A418&amp;"")</f>
        <v/>
      </c>
      <c r="AA418">
        <f>IF(Z418="","",IF(MATCH(SUBSTITUTE(SUBSTITUTE(SUBSTITUTE(Z418,"~","~~"),"*","~*"),"?","~?"),$Z$5:$Z$5004,0)=414,MAX($AA$4:AA417)+1,""))</f>
        <v/>
      </c>
    </row>
    <row r="419" spans="1:27">
      <c r="A419" s="9"/>
      <c r="Z419">
        <f>TRIM(A419&amp;"")</f>
        <v/>
      </c>
      <c r="AA419">
        <f>IF(Z419="","",IF(MATCH(SUBSTITUTE(SUBSTITUTE(SUBSTITUTE(Z419,"~","~~"),"*","~*"),"?","~?"),$Z$5:$Z$5004,0)=415,MAX($AA$4:AA418)+1,""))</f>
        <v/>
      </c>
    </row>
    <row r="420" spans="1:27">
      <c r="A420" s="9"/>
      <c r="Z420">
        <f>TRIM(A420&amp;"")</f>
        <v/>
      </c>
      <c r="AA420">
        <f>IF(Z420="","",IF(MATCH(SUBSTITUTE(SUBSTITUTE(SUBSTITUTE(Z420,"~","~~"),"*","~*"),"?","~?"),$Z$5:$Z$5004,0)=416,MAX($AA$4:AA419)+1,""))</f>
        <v/>
      </c>
    </row>
    <row r="421" spans="1:27">
      <c r="A421" s="9"/>
      <c r="Z421">
        <f>TRIM(A421&amp;"")</f>
        <v/>
      </c>
      <c r="AA421">
        <f>IF(Z421="","",IF(MATCH(SUBSTITUTE(SUBSTITUTE(SUBSTITUTE(Z421,"~","~~"),"*","~*"),"?","~?"),$Z$5:$Z$5004,0)=417,MAX($AA$4:AA420)+1,""))</f>
        <v/>
      </c>
    </row>
    <row r="422" spans="1:27">
      <c r="A422" s="9"/>
      <c r="Z422">
        <f>TRIM(A422&amp;"")</f>
        <v/>
      </c>
      <c r="AA422">
        <f>IF(Z422="","",IF(MATCH(SUBSTITUTE(SUBSTITUTE(SUBSTITUTE(Z422,"~","~~"),"*","~*"),"?","~?"),$Z$5:$Z$5004,0)=418,MAX($AA$4:AA421)+1,""))</f>
        <v/>
      </c>
    </row>
    <row r="423" spans="1:27">
      <c r="A423" s="9"/>
      <c r="Z423">
        <f>TRIM(A423&amp;"")</f>
        <v/>
      </c>
      <c r="AA423">
        <f>IF(Z423="","",IF(MATCH(SUBSTITUTE(SUBSTITUTE(SUBSTITUTE(Z423,"~","~~"),"*","~*"),"?","~?"),$Z$5:$Z$5004,0)=419,MAX($AA$4:AA422)+1,""))</f>
        <v/>
      </c>
    </row>
    <row r="424" spans="1:27">
      <c r="A424" s="9"/>
      <c r="Z424">
        <f>TRIM(A424&amp;"")</f>
        <v/>
      </c>
      <c r="AA424">
        <f>IF(Z424="","",IF(MATCH(SUBSTITUTE(SUBSTITUTE(SUBSTITUTE(Z424,"~","~~"),"*","~*"),"?","~?"),$Z$5:$Z$5004,0)=420,MAX($AA$4:AA423)+1,""))</f>
        <v/>
      </c>
    </row>
    <row r="425" spans="1:27">
      <c r="A425" s="9"/>
      <c r="Z425">
        <f>TRIM(A425&amp;"")</f>
        <v/>
      </c>
      <c r="AA425">
        <f>IF(Z425="","",IF(MATCH(SUBSTITUTE(SUBSTITUTE(SUBSTITUTE(Z425,"~","~~"),"*","~*"),"?","~?"),$Z$5:$Z$5004,0)=421,MAX($AA$4:AA424)+1,""))</f>
        <v/>
      </c>
    </row>
    <row r="426" spans="1:27">
      <c r="A426" s="9"/>
      <c r="Z426">
        <f>TRIM(A426&amp;"")</f>
        <v/>
      </c>
      <c r="AA426">
        <f>IF(Z426="","",IF(MATCH(SUBSTITUTE(SUBSTITUTE(SUBSTITUTE(Z426,"~","~~"),"*","~*"),"?","~?"),$Z$5:$Z$5004,0)=422,MAX($AA$4:AA425)+1,""))</f>
        <v/>
      </c>
    </row>
    <row r="427" spans="1:27">
      <c r="A427" s="9"/>
      <c r="Z427">
        <f>TRIM(A427&amp;"")</f>
        <v/>
      </c>
      <c r="AA427">
        <f>IF(Z427="","",IF(MATCH(SUBSTITUTE(SUBSTITUTE(SUBSTITUTE(Z427,"~","~~"),"*","~*"),"?","~?"),$Z$5:$Z$5004,0)=423,MAX($AA$4:AA426)+1,""))</f>
        <v/>
      </c>
    </row>
    <row r="428" spans="1:27">
      <c r="A428" s="9"/>
      <c r="Z428">
        <f>TRIM(A428&amp;"")</f>
        <v/>
      </c>
      <c r="AA428">
        <f>IF(Z428="","",IF(MATCH(SUBSTITUTE(SUBSTITUTE(SUBSTITUTE(Z428,"~","~~"),"*","~*"),"?","~?"),$Z$5:$Z$5004,0)=424,MAX($AA$4:AA427)+1,""))</f>
        <v/>
      </c>
    </row>
    <row r="429" spans="1:27">
      <c r="A429" s="9"/>
      <c r="Z429">
        <f>TRIM(A429&amp;"")</f>
        <v/>
      </c>
      <c r="AA429">
        <f>IF(Z429="","",IF(MATCH(SUBSTITUTE(SUBSTITUTE(SUBSTITUTE(Z429,"~","~~"),"*","~*"),"?","~?"),$Z$5:$Z$5004,0)=425,MAX($AA$4:AA428)+1,""))</f>
        <v/>
      </c>
    </row>
    <row r="430" spans="1:27">
      <c r="A430" s="9"/>
      <c r="Z430">
        <f>TRIM(A430&amp;"")</f>
        <v/>
      </c>
      <c r="AA430">
        <f>IF(Z430="","",IF(MATCH(SUBSTITUTE(SUBSTITUTE(SUBSTITUTE(Z430,"~","~~"),"*","~*"),"?","~?"),$Z$5:$Z$5004,0)=426,MAX($AA$4:AA429)+1,""))</f>
        <v/>
      </c>
    </row>
    <row r="431" spans="1:27">
      <c r="A431" s="9"/>
      <c r="Z431">
        <f>TRIM(A431&amp;"")</f>
        <v/>
      </c>
      <c r="AA431">
        <f>IF(Z431="","",IF(MATCH(SUBSTITUTE(SUBSTITUTE(SUBSTITUTE(Z431,"~","~~"),"*","~*"),"?","~?"),$Z$5:$Z$5004,0)=427,MAX($AA$4:AA430)+1,""))</f>
        <v/>
      </c>
    </row>
    <row r="432" spans="1:27">
      <c r="A432" s="9"/>
      <c r="Z432">
        <f>TRIM(A432&amp;"")</f>
        <v/>
      </c>
      <c r="AA432">
        <f>IF(Z432="","",IF(MATCH(SUBSTITUTE(SUBSTITUTE(SUBSTITUTE(Z432,"~","~~"),"*","~*"),"?","~?"),$Z$5:$Z$5004,0)=428,MAX($AA$4:AA431)+1,""))</f>
        <v/>
      </c>
    </row>
    <row r="433" spans="1:27">
      <c r="A433" s="9"/>
      <c r="Z433">
        <f>TRIM(A433&amp;"")</f>
        <v/>
      </c>
      <c r="AA433">
        <f>IF(Z433="","",IF(MATCH(SUBSTITUTE(SUBSTITUTE(SUBSTITUTE(Z433,"~","~~"),"*","~*"),"?","~?"),$Z$5:$Z$5004,0)=429,MAX($AA$4:AA432)+1,""))</f>
        <v/>
      </c>
    </row>
    <row r="434" spans="1:27">
      <c r="A434" s="9"/>
      <c r="Z434">
        <f>TRIM(A434&amp;"")</f>
        <v/>
      </c>
      <c r="AA434">
        <f>IF(Z434="","",IF(MATCH(SUBSTITUTE(SUBSTITUTE(SUBSTITUTE(Z434,"~","~~"),"*","~*"),"?","~?"),$Z$5:$Z$5004,0)=430,MAX($AA$4:AA433)+1,""))</f>
        <v/>
      </c>
    </row>
    <row r="435" spans="1:27">
      <c r="A435" s="9"/>
      <c r="Z435">
        <f>TRIM(A435&amp;"")</f>
        <v/>
      </c>
      <c r="AA435">
        <f>IF(Z435="","",IF(MATCH(SUBSTITUTE(SUBSTITUTE(SUBSTITUTE(Z435,"~","~~"),"*","~*"),"?","~?"),$Z$5:$Z$5004,0)=431,MAX($AA$4:AA434)+1,""))</f>
        <v/>
      </c>
    </row>
    <row r="436" spans="1:27">
      <c r="A436" s="9"/>
      <c r="Z436">
        <f>TRIM(A436&amp;"")</f>
        <v/>
      </c>
      <c r="AA436">
        <f>IF(Z436="","",IF(MATCH(SUBSTITUTE(SUBSTITUTE(SUBSTITUTE(Z436,"~","~~"),"*","~*"),"?","~?"),$Z$5:$Z$5004,0)=432,MAX($AA$4:AA435)+1,""))</f>
        <v/>
      </c>
    </row>
    <row r="437" spans="1:27">
      <c r="A437" s="9"/>
      <c r="Z437">
        <f>TRIM(A437&amp;"")</f>
        <v/>
      </c>
      <c r="AA437">
        <f>IF(Z437="","",IF(MATCH(SUBSTITUTE(SUBSTITUTE(SUBSTITUTE(Z437,"~","~~"),"*","~*"),"?","~?"),$Z$5:$Z$5004,0)=433,MAX($AA$4:AA436)+1,""))</f>
        <v/>
      </c>
    </row>
    <row r="438" spans="1:27">
      <c r="A438" s="9"/>
      <c r="Z438">
        <f>TRIM(A438&amp;"")</f>
        <v/>
      </c>
      <c r="AA438">
        <f>IF(Z438="","",IF(MATCH(SUBSTITUTE(SUBSTITUTE(SUBSTITUTE(Z438,"~","~~"),"*","~*"),"?","~?"),$Z$5:$Z$5004,0)=434,MAX($AA$4:AA437)+1,""))</f>
        <v/>
      </c>
    </row>
    <row r="439" spans="1:27">
      <c r="A439" s="9"/>
      <c r="Z439">
        <f>TRIM(A439&amp;"")</f>
        <v/>
      </c>
      <c r="AA439">
        <f>IF(Z439="","",IF(MATCH(SUBSTITUTE(SUBSTITUTE(SUBSTITUTE(Z439,"~","~~"),"*","~*"),"?","~?"),$Z$5:$Z$5004,0)=435,MAX($AA$4:AA438)+1,""))</f>
        <v/>
      </c>
    </row>
    <row r="440" spans="1:27">
      <c r="A440" s="9"/>
      <c r="Z440">
        <f>TRIM(A440&amp;"")</f>
        <v/>
      </c>
      <c r="AA440">
        <f>IF(Z440="","",IF(MATCH(SUBSTITUTE(SUBSTITUTE(SUBSTITUTE(Z440,"~","~~"),"*","~*"),"?","~?"),$Z$5:$Z$5004,0)=436,MAX($AA$4:AA439)+1,""))</f>
        <v/>
      </c>
    </row>
    <row r="441" spans="1:27">
      <c r="A441" s="9"/>
      <c r="Z441">
        <f>TRIM(A441&amp;"")</f>
        <v/>
      </c>
      <c r="AA441">
        <f>IF(Z441="","",IF(MATCH(SUBSTITUTE(SUBSTITUTE(SUBSTITUTE(Z441,"~","~~"),"*","~*"),"?","~?"),$Z$5:$Z$5004,0)=437,MAX($AA$4:AA440)+1,""))</f>
        <v/>
      </c>
    </row>
    <row r="442" spans="1:27">
      <c r="A442" s="9"/>
      <c r="Z442">
        <f>TRIM(A442&amp;"")</f>
        <v/>
      </c>
      <c r="AA442">
        <f>IF(Z442="","",IF(MATCH(SUBSTITUTE(SUBSTITUTE(SUBSTITUTE(Z442,"~","~~"),"*","~*"),"?","~?"),$Z$5:$Z$5004,0)=438,MAX($AA$4:AA441)+1,""))</f>
        <v/>
      </c>
    </row>
    <row r="443" spans="1:27">
      <c r="A443" s="9"/>
      <c r="Z443">
        <f>TRIM(A443&amp;"")</f>
        <v/>
      </c>
      <c r="AA443">
        <f>IF(Z443="","",IF(MATCH(SUBSTITUTE(SUBSTITUTE(SUBSTITUTE(Z443,"~","~~"),"*","~*"),"?","~?"),$Z$5:$Z$5004,0)=439,MAX($AA$4:AA442)+1,""))</f>
        <v/>
      </c>
    </row>
    <row r="444" spans="1:27">
      <c r="A444" s="9"/>
      <c r="Z444">
        <f>TRIM(A444&amp;"")</f>
        <v/>
      </c>
      <c r="AA444">
        <f>IF(Z444="","",IF(MATCH(SUBSTITUTE(SUBSTITUTE(SUBSTITUTE(Z444,"~","~~"),"*","~*"),"?","~?"),$Z$5:$Z$5004,0)=440,MAX($AA$4:AA443)+1,""))</f>
        <v/>
      </c>
    </row>
    <row r="445" spans="1:27">
      <c r="A445" s="9"/>
      <c r="Z445">
        <f>TRIM(A445&amp;"")</f>
        <v/>
      </c>
      <c r="AA445">
        <f>IF(Z445="","",IF(MATCH(SUBSTITUTE(SUBSTITUTE(SUBSTITUTE(Z445,"~","~~"),"*","~*"),"?","~?"),$Z$5:$Z$5004,0)=441,MAX($AA$4:AA444)+1,""))</f>
        <v/>
      </c>
    </row>
    <row r="446" spans="1:27">
      <c r="A446" s="9"/>
      <c r="Z446">
        <f>TRIM(A446&amp;"")</f>
        <v/>
      </c>
      <c r="AA446">
        <f>IF(Z446="","",IF(MATCH(SUBSTITUTE(SUBSTITUTE(SUBSTITUTE(Z446,"~","~~"),"*","~*"),"?","~?"),$Z$5:$Z$5004,0)=442,MAX($AA$4:AA445)+1,""))</f>
        <v/>
      </c>
    </row>
    <row r="447" spans="1:27">
      <c r="A447" s="9"/>
      <c r="Z447">
        <f>TRIM(A447&amp;"")</f>
        <v/>
      </c>
      <c r="AA447">
        <f>IF(Z447="","",IF(MATCH(SUBSTITUTE(SUBSTITUTE(SUBSTITUTE(Z447,"~","~~"),"*","~*"),"?","~?"),$Z$5:$Z$5004,0)=443,MAX($AA$4:AA446)+1,""))</f>
        <v/>
      </c>
    </row>
    <row r="448" spans="1:27">
      <c r="A448" s="9"/>
      <c r="Z448">
        <f>TRIM(A448&amp;"")</f>
        <v/>
      </c>
      <c r="AA448">
        <f>IF(Z448="","",IF(MATCH(SUBSTITUTE(SUBSTITUTE(SUBSTITUTE(Z448,"~","~~"),"*","~*"),"?","~?"),$Z$5:$Z$5004,0)=444,MAX($AA$4:AA447)+1,""))</f>
        <v/>
      </c>
    </row>
    <row r="449" spans="1:27">
      <c r="A449" s="9"/>
      <c r="Z449">
        <f>TRIM(A449&amp;"")</f>
        <v/>
      </c>
      <c r="AA449">
        <f>IF(Z449="","",IF(MATCH(SUBSTITUTE(SUBSTITUTE(SUBSTITUTE(Z449,"~","~~"),"*","~*"),"?","~?"),$Z$5:$Z$5004,0)=445,MAX($AA$4:AA448)+1,""))</f>
        <v/>
      </c>
    </row>
    <row r="450" spans="1:27">
      <c r="A450" s="9"/>
      <c r="Z450">
        <f>TRIM(A450&amp;"")</f>
        <v/>
      </c>
      <c r="AA450">
        <f>IF(Z450="","",IF(MATCH(SUBSTITUTE(SUBSTITUTE(SUBSTITUTE(Z450,"~","~~"),"*","~*"),"?","~?"),$Z$5:$Z$5004,0)=446,MAX($AA$4:AA449)+1,""))</f>
        <v/>
      </c>
    </row>
    <row r="451" spans="1:27">
      <c r="A451" s="9"/>
      <c r="Z451">
        <f>TRIM(A451&amp;"")</f>
        <v/>
      </c>
      <c r="AA451">
        <f>IF(Z451="","",IF(MATCH(SUBSTITUTE(SUBSTITUTE(SUBSTITUTE(Z451,"~","~~"),"*","~*"),"?","~?"),$Z$5:$Z$5004,0)=447,MAX($AA$4:AA450)+1,""))</f>
        <v/>
      </c>
    </row>
    <row r="452" spans="1:27">
      <c r="A452" s="9"/>
      <c r="Z452">
        <f>TRIM(A452&amp;"")</f>
        <v/>
      </c>
      <c r="AA452">
        <f>IF(Z452="","",IF(MATCH(SUBSTITUTE(SUBSTITUTE(SUBSTITUTE(Z452,"~","~~"),"*","~*"),"?","~?"),$Z$5:$Z$5004,0)=448,MAX($AA$4:AA451)+1,""))</f>
        <v/>
      </c>
    </row>
    <row r="453" spans="1:27">
      <c r="A453" s="9"/>
      <c r="Z453">
        <f>TRIM(A453&amp;"")</f>
        <v/>
      </c>
      <c r="AA453">
        <f>IF(Z453="","",IF(MATCH(SUBSTITUTE(SUBSTITUTE(SUBSTITUTE(Z453,"~","~~"),"*","~*"),"?","~?"),$Z$5:$Z$5004,0)=449,MAX($AA$4:AA452)+1,""))</f>
        <v/>
      </c>
    </row>
    <row r="454" spans="1:27">
      <c r="A454" s="9"/>
      <c r="Z454">
        <f>TRIM(A454&amp;"")</f>
        <v/>
      </c>
      <c r="AA454">
        <f>IF(Z454="","",IF(MATCH(SUBSTITUTE(SUBSTITUTE(SUBSTITUTE(Z454,"~","~~"),"*","~*"),"?","~?"),$Z$5:$Z$5004,0)=450,MAX($AA$4:AA453)+1,""))</f>
        <v/>
      </c>
    </row>
    <row r="455" spans="1:27">
      <c r="A455" s="9"/>
      <c r="Z455">
        <f>TRIM(A455&amp;"")</f>
        <v/>
      </c>
      <c r="AA455">
        <f>IF(Z455="","",IF(MATCH(SUBSTITUTE(SUBSTITUTE(SUBSTITUTE(Z455,"~","~~"),"*","~*"),"?","~?"),$Z$5:$Z$5004,0)=451,MAX($AA$4:AA454)+1,""))</f>
        <v/>
      </c>
    </row>
    <row r="456" spans="1:27">
      <c r="A456" s="9"/>
      <c r="Z456">
        <f>TRIM(A456&amp;"")</f>
        <v/>
      </c>
      <c r="AA456">
        <f>IF(Z456="","",IF(MATCH(SUBSTITUTE(SUBSTITUTE(SUBSTITUTE(Z456,"~","~~"),"*","~*"),"?","~?"),$Z$5:$Z$5004,0)=452,MAX($AA$4:AA455)+1,""))</f>
        <v/>
      </c>
    </row>
    <row r="457" spans="1:27">
      <c r="A457" s="9"/>
      <c r="Z457">
        <f>TRIM(A457&amp;"")</f>
        <v/>
      </c>
      <c r="AA457">
        <f>IF(Z457="","",IF(MATCH(SUBSTITUTE(SUBSTITUTE(SUBSTITUTE(Z457,"~","~~"),"*","~*"),"?","~?"),$Z$5:$Z$5004,0)=453,MAX($AA$4:AA456)+1,""))</f>
        <v/>
      </c>
    </row>
    <row r="458" spans="1:27">
      <c r="A458" s="9"/>
      <c r="Z458">
        <f>TRIM(A458&amp;"")</f>
        <v/>
      </c>
      <c r="AA458">
        <f>IF(Z458="","",IF(MATCH(SUBSTITUTE(SUBSTITUTE(SUBSTITUTE(Z458,"~","~~"),"*","~*"),"?","~?"),$Z$5:$Z$5004,0)=454,MAX($AA$4:AA457)+1,""))</f>
        <v/>
      </c>
    </row>
    <row r="459" spans="1:27">
      <c r="A459" s="9"/>
      <c r="Z459">
        <f>TRIM(A459&amp;"")</f>
        <v/>
      </c>
      <c r="AA459">
        <f>IF(Z459="","",IF(MATCH(SUBSTITUTE(SUBSTITUTE(SUBSTITUTE(Z459,"~","~~"),"*","~*"),"?","~?"),$Z$5:$Z$5004,0)=455,MAX($AA$4:AA458)+1,""))</f>
        <v/>
      </c>
    </row>
    <row r="460" spans="1:27">
      <c r="A460" s="9"/>
      <c r="Z460">
        <f>TRIM(A460&amp;"")</f>
        <v/>
      </c>
      <c r="AA460">
        <f>IF(Z460="","",IF(MATCH(SUBSTITUTE(SUBSTITUTE(SUBSTITUTE(Z460,"~","~~"),"*","~*"),"?","~?"),$Z$5:$Z$5004,0)=456,MAX($AA$4:AA459)+1,""))</f>
        <v/>
      </c>
    </row>
    <row r="461" spans="1:27">
      <c r="A461" s="9"/>
      <c r="Z461">
        <f>TRIM(A461&amp;"")</f>
        <v/>
      </c>
      <c r="AA461">
        <f>IF(Z461="","",IF(MATCH(SUBSTITUTE(SUBSTITUTE(SUBSTITUTE(Z461,"~","~~"),"*","~*"),"?","~?"),$Z$5:$Z$5004,0)=457,MAX($AA$4:AA460)+1,""))</f>
        <v/>
      </c>
    </row>
    <row r="462" spans="1:27">
      <c r="A462" s="9"/>
      <c r="Z462">
        <f>TRIM(A462&amp;"")</f>
        <v/>
      </c>
      <c r="AA462">
        <f>IF(Z462="","",IF(MATCH(SUBSTITUTE(SUBSTITUTE(SUBSTITUTE(Z462,"~","~~"),"*","~*"),"?","~?"),$Z$5:$Z$5004,0)=458,MAX($AA$4:AA461)+1,""))</f>
        <v/>
      </c>
    </row>
    <row r="463" spans="1:27">
      <c r="A463" s="9"/>
      <c r="Z463">
        <f>TRIM(A463&amp;"")</f>
        <v/>
      </c>
      <c r="AA463">
        <f>IF(Z463="","",IF(MATCH(SUBSTITUTE(SUBSTITUTE(SUBSTITUTE(Z463,"~","~~"),"*","~*"),"?","~?"),$Z$5:$Z$5004,0)=459,MAX($AA$4:AA462)+1,""))</f>
        <v/>
      </c>
    </row>
    <row r="464" spans="1:27">
      <c r="A464" s="9"/>
      <c r="Z464">
        <f>TRIM(A464&amp;"")</f>
        <v/>
      </c>
      <c r="AA464">
        <f>IF(Z464="","",IF(MATCH(SUBSTITUTE(SUBSTITUTE(SUBSTITUTE(Z464,"~","~~"),"*","~*"),"?","~?"),$Z$5:$Z$5004,0)=460,MAX($AA$4:AA463)+1,""))</f>
        <v/>
      </c>
    </row>
    <row r="465" spans="1:27">
      <c r="A465" s="9"/>
      <c r="Z465">
        <f>TRIM(A465&amp;"")</f>
        <v/>
      </c>
      <c r="AA465">
        <f>IF(Z465="","",IF(MATCH(SUBSTITUTE(SUBSTITUTE(SUBSTITUTE(Z465,"~","~~"),"*","~*"),"?","~?"),$Z$5:$Z$5004,0)=461,MAX($AA$4:AA464)+1,""))</f>
        <v/>
      </c>
    </row>
    <row r="466" spans="1:27">
      <c r="A466" s="9"/>
      <c r="Z466">
        <f>TRIM(A466&amp;"")</f>
        <v/>
      </c>
      <c r="AA466">
        <f>IF(Z466="","",IF(MATCH(SUBSTITUTE(SUBSTITUTE(SUBSTITUTE(Z466,"~","~~"),"*","~*"),"?","~?"),$Z$5:$Z$5004,0)=462,MAX($AA$4:AA465)+1,""))</f>
        <v/>
      </c>
    </row>
    <row r="467" spans="1:27">
      <c r="A467" s="9"/>
      <c r="Z467">
        <f>TRIM(A467&amp;"")</f>
        <v/>
      </c>
      <c r="AA467">
        <f>IF(Z467="","",IF(MATCH(SUBSTITUTE(SUBSTITUTE(SUBSTITUTE(Z467,"~","~~"),"*","~*"),"?","~?"),$Z$5:$Z$5004,0)=463,MAX($AA$4:AA466)+1,""))</f>
        <v/>
      </c>
    </row>
    <row r="468" spans="1:27">
      <c r="A468" s="9"/>
      <c r="Z468">
        <f>TRIM(A468&amp;"")</f>
        <v/>
      </c>
      <c r="AA468">
        <f>IF(Z468="","",IF(MATCH(SUBSTITUTE(SUBSTITUTE(SUBSTITUTE(Z468,"~","~~"),"*","~*"),"?","~?"),$Z$5:$Z$5004,0)=464,MAX($AA$4:AA467)+1,""))</f>
        <v/>
      </c>
    </row>
    <row r="469" spans="1:27">
      <c r="A469" s="9"/>
      <c r="Z469">
        <f>TRIM(A469&amp;"")</f>
        <v/>
      </c>
      <c r="AA469">
        <f>IF(Z469="","",IF(MATCH(SUBSTITUTE(SUBSTITUTE(SUBSTITUTE(Z469,"~","~~"),"*","~*"),"?","~?"),$Z$5:$Z$5004,0)=465,MAX($AA$4:AA468)+1,""))</f>
        <v/>
      </c>
    </row>
    <row r="470" spans="1:27">
      <c r="A470" s="9"/>
      <c r="Z470">
        <f>TRIM(A470&amp;"")</f>
        <v/>
      </c>
      <c r="AA470">
        <f>IF(Z470="","",IF(MATCH(SUBSTITUTE(SUBSTITUTE(SUBSTITUTE(Z470,"~","~~"),"*","~*"),"?","~?"),$Z$5:$Z$5004,0)=466,MAX($AA$4:AA469)+1,""))</f>
        <v/>
      </c>
    </row>
    <row r="471" spans="1:27">
      <c r="A471" s="9"/>
      <c r="Z471">
        <f>TRIM(A471&amp;"")</f>
        <v/>
      </c>
      <c r="AA471">
        <f>IF(Z471="","",IF(MATCH(SUBSTITUTE(SUBSTITUTE(SUBSTITUTE(Z471,"~","~~"),"*","~*"),"?","~?"),$Z$5:$Z$5004,0)=467,MAX($AA$4:AA470)+1,""))</f>
        <v/>
      </c>
    </row>
    <row r="472" spans="1:27">
      <c r="A472" s="9"/>
      <c r="Z472">
        <f>TRIM(A472&amp;"")</f>
        <v/>
      </c>
      <c r="AA472">
        <f>IF(Z472="","",IF(MATCH(SUBSTITUTE(SUBSTITUTE(SUBSTITUTE(Z472,"~","~~"),"*","~*"),"?","~?"),$Z$5:$Z$5004,0)=468,MAX($AA$4:AA471)+1,""))</f>
        <v/>
      </c>
    </row>
    <row r="473" spans="1:27">
      <c r="A473" s="9"/>
      <c r="Z473">
        <f>TRIM(A473&amp;"")</f>
        <v/>
      </c>
      <c r="AA473">
        <f>IF(Z473="","",IF(MATCH(SUBSTITUTE(SUBSTITUTE(SUBSTITUTE(Z473,"~","~~"),"*","~*"),"?","~?"),$Z$5:$Z$5004,0)=469,MAX($AA$4:AA472)+1,""))</f>
        <v/>
      </c>
    </row>
    <row r="474" spans="1:27">
      <c r="A474" s="9"/>
      <c r="Z474">
        <f>TRIM(A474&amp;"")</f>
        <v/>
      </c>
      <c r="AA474">
        <f>IF(Z474="","",IF(MATCH(SUBSTITUTE(SUBSTITUTE(SUBSTITUTE(Z474,"~","~~"),"*","~*"),"?","~?"),$Z$5:$Z$5004,0)=470,MAX($AA$4:AA473)+1,""))</f>
        <v/>
      </c>
    </row>
    <row r="475" spans="1:27">
      <c r="A475" s="9"/>
      <c r="Z475">
        <f>TRIM(A475&amp;"")</f>
        <v/>
      </c>
      <c r="AA475">
        <f>IF(Z475="","",IF(MATCH(SUBSTITUTE(SUBSTITUTE(SUBSTITUTE(Z475,"~","~~"),"*","~*"),"?","~?"),$Z$5:$Z$5004,0)=471,MAX($AA$4:AA474)+1,""))</f>
        <v/>
      </c>
    </row>
    <row r="476" spans="1:27">
      <c r="A476" s="9"/>
      <c r="Z476">
        <f>TRIM(A476&amp;"")</f>
        <v/>
      </c>
      <c r="AA476">
        <f>IF(Z476="","",IF(MATCH(SUBSTITUTE(SUBSTITUTE(SUBSTITUTE(Z476,"~","~~"),"*","~*"),"?","~?"),$Z$5:$Z$5004,0)=472,MAX($AA$4:AA475)+1,""))</f>
        <v/>
      </c>
    </row>
    <row r="477" spans="1:27">
      <c r="A477" s="9"/>
      <c r="Z477">
        <f>TRIM(A477&amp;"")</f>
        <v/>
      </c>
      <c r="AA477">
        <f>IF(Z477="","",IF(MATCH(SUBSTITUTE(SUBSTITUTE(SUBSTITUTE(Z477,"~","~~"),"*","~*"),"?","~?"),$Z$5:$Z$5004,0)=473,MAX($AA$4:AA476)+1,""))</f>
        <v/>
      </c>
    </row>
    <row r="478" spans="1:27">
      <c r="A478" s="9"/>
      <c r="Z478">
        <f>TRIM(A478&amp;"")</f>
        <v/>
      </c>
      <c r="AA478">
        <f>IF(Z478="","",IF(MATCH(SUBSTITUTE(SUBSTITUTE(SUBSTITUTE(Z478,"~","~~"),"*","~*"),"?","~?"),$Z$5:$Z$5004,0)=474,MAX($AA$4:AA477)+1,""))</f>
        <v/>
      </c>
    </row>
    <row r="479" spans="1:27">
      <c r="A479" s="9"/>
      <c r="Z479">
        <f>TRIM(A479&amp;"")</f>
        <v/>
      </c>
      <c r="AA479">
        <f>IF(Z479="","",IF(MATCH(SUBSTITUTE(SUBSTITUTE(SUBSTITUTE(Z479,"~","~~"),"*","~*"),"?","~?"),$Z$5:$Z$5004,0)=475,MAX($AA$4:AA478)+1,""))</f>
        <v/>
      </c>
    </row>
    <row r="480" spans="1:27">
      <c r="A480" s="9"/>
      <c r="Z480">
        <f>TRIM(A480&amp;"")</f>
        <v/>
      </c>
      <c r="AA480">
        <f>IF(Z480="","",IF(MATCH(SUBSTITUTE(SUBSTITUTE(SUBSTITUTE(Z480,"~","~~"),"*","~*"),"?","~?"),$Z$5:$Z$5004,0)=476,MAX($AA$4:AA479)+1,""))</f>
        <v/>
      </c>
    </row>
    <row r="481" spans="1:27">
      <c r="A481" s="9"/>
      <c r="Z481">
        <f>TRIM(A481&amp;"")</f>
        <v/>
      </c>
      <c r="AA481">
        <f>IF(Z481="","",IF(MATCH(SUBSTITUTE(SUBSTITUTE(SUBSTITUTE(Z481,"~","~~"),"*","~*"),"?","~?"),$Z$5:$Z$5004,0)=477,MAX($AA$4:AA480)+1,""))</f>
        <v/>
      </c>
    </row>
    <row r="482" spans="1:27">
      <c r="A482" s="9"/>
      <c r="Z482">
        <f>TRIM(A482&amp;"")</f>
        <v/>
      </c>
      <c r="AA482">
        <f>IF(Z482="","",IF(MATCH(SUBSTITUTE(SUBSTITUTE(SUBSTITUTE(Z482,"~","~~"),"*","~*"),"?","~?"),$Z$5:$Z$5004,0)=478,MAX($AA$4:AA481)+1,""))</f>
        <v/>
      </c>
    </row>
    <row r="483" spans="1:27">
      <c r="A483" s="9"/>
      <c r="Z483">
        <f>TRIM(A483&amp;"")</f>
        <v/>
      </c>
      <c r="AA483">
        <f>IF(Z483="","",IF(MATCH(SUBSTITUTE(SUBSTITUTE(SUBSTITUTE(Z483,"~","~~"),"*","~*"),"?","~?"),$Z$5:$Z$5004,0)=479,MAX($AA$4:AA482)+1,""))</f>
        <v/>
      </c>
    </row>
    <row r="484" spans="1:27">
      <c r="A484" s="9"/>
      <c r="Z484">
        <f>TRIM(A484&amp;"")</f>
        <v/>
      </c>
      <c r="AA484">
        <f>IF(Z484="","",IF(MATCH(SUBSTITUTE(SUBSTITUTE(SUBSTITUTE(Z484,"~","~~"),"*","~*"),"?","~?"),$Z$5:$Z$5004,0)=480,MAX($AA$4:AA483)+1,""))</f>
        <v/>
      </c>
    </row>
    <row r="485" spans="1:27">
      <c r="A485" s="9"/>
      <c r="Z485">
        <f>TRIM(A485&amp;"")</f>
        <v/>
      </c>
      <c r="AA485">
        <f>IF(Z485="","",IF(MATCH(SUBSTITUTE(SUBSTITUTE(SUBSTITUTE(Z485,"~","~~"),"*","~*"),"?","~?"),$Z$5:$Z$5004,0)=481,MAX($AA$4:AA484)+1,""))</f>
        <v/>
      </c>
    </row>
    <row r="486" spans="1:27">
      <c r="A486" s="9"/>
      <c r="Z486">
        <f>TRIM(A486&amp;"")</f>
        <v/>
      </c>
      <c r="AA486">
        <f>IF(Z486="","",IF(MATCH(SUBSTITUTE(SUBSTITUTE(SUBSTITUTE(Z486,"~","~~"),"*","~*"),"?","~?"),$Z$5:$Z$5004,0)=482,MAX($AA$4:AA485)+1,""))</f>
        <v/>
      </c>
    </row>
    <row r="487" spans="1:27">
      <c r="A487" s="9"/>
      <c r="Z487">
        <f>TRIM(A487&amp;"")</f>
        <v/>
      </c>
      <c r="AA487">
        <f>IF(Z487="","",IF(MATCH(SUBSTITUTE(SUBSTITUTE(SUBSTITUTE(Z487,"~","~~"),"*","~*"),"?","~?"),$Z$5:$Z$5004,0)=483,MAX($AA$4:AA486)+1,""))</f>
        <v/>
      </c>
    </row>
    <row r="488" spans="1:27">
      <c r="A488" s="9"/>
      <c r="Z488">
        <f>TRIM(A488&amp;"")</f>
        <v/>
      </c>
      <c r="AA488">
        <f>IF(Z488="","",IF(MATCH(SUBSTITUTE(SUBSTITUTE(SUBSTITUTE(Z488,"~","~~"),"*","~*"),"?","~?"),$Z$5:$Z$5004,0)=484,MAX($AA$4:AA487)+1,""))</f>
        <v/>
      </c>
    </row>
    <row r="489" spans="1:27">
      <c r="A489" s="9"/>
      <c r="Z489">
        <f>TRIM(A489&amp;"")</f>
        <v/>
      </c>
      <c r="AA489">
        <f>IF(Z489="","",IF(MATCH(SUBSTITUTE(SUBSTITUTE(SUBSTITUTE(Z489,"~","~~"),"*","~*"),"?","~?"),$Z$5:$Z$5004,0)=485,MAX($AA$4:AA488)+1,""))</f>
        <v/>
      </c>
    </row>
    <row r="490" spans="1:27">
      <c r="A490" s="9"/>
      <c r="Z490">
        <f>TRIM(A490&amp;"")</f>
        <v/>
      </c>
      <c r="AA490">
        <f>IF(Z490="","",IF(MATCH(SUBSTITUTE(SUBSTITUTE(SUBSTITUTE(Z490,"~","~~"),"*","~*"),"?","~?"),$Z$5:$Z$5004,0)=486,MAX($AA$4:AA489)+1,""))</f>
        <v/>
      </c>
    </row>
    <row r="491" spans="1:27">
      <c r="A491" s="9"/>
      <c r="Z491">
        <f>TRIM(A491&amp;"")</f>
        <v/>
      </c>
      <c r="AA491">
        <f>IF(Z491="","",IF(MATCH(SUBSTITUTE(SUBSTITUTE(SUBSTITUTE(Z491,"~","~~"),"*","~*"),"?","~?"),$Z$5:$Z$5004,0)=487,MAX($AA$4:AA490)+1,""))</f>
        <v/>
      </c>
    </row>
    <row r="492" spans="1:27">
      <c r="A492" s="9"/>
      <c r="Z492">
        <f>TRIM(A492&amp;"")</f>
        <v/>
      </c>
      <c r="AA492">
        <f>IF(Z492="","",IF(MATCH(SUBSTITUTE(SUBSTITUTE(SUBSTITUTE(Z492,"~","~~"),"*","~*"),"?","~?"),$Z$5:$Z$5004,0)=488,MAX($AA$4:AA491)+1,""))</f>
        <v/>
      </c>
    </row>
    <row r="493" spans="1:27">
      <c r="A493" s="9"/>
      <c r="Z493">
        <f>TRIM(A493&amp;"")</f>
        <v/>
      </c>
      <c r="AA493">
        <f>IF(Z493="","",IF(MATCH(SUBSTITUTE(SUBSTITUTE(SUBSTITUTE(Z493,"~","~~"),"*","~*"),"?","~?"),$Z$5:$Z$5004,0)=489,MAX($AA$4:AA492)+1,""))</f>
        <v/>
      </c>
    </row>
    <row r="494" spans="1:27">
      <c r="A494" s="9"/>
      <c r="Z494">
        <f>TRIM(A494&amp;"")</f>
        <v/>
      </c>
      <c r="AA494">
        <f>IF(Z494="","",IF(MATCH(SUBSTITUTE(SUBSTITUTE(SUBSTITUTE(Z494,"~","~~"),"*","~*"),"?","~?"),$Z$5:$Z$5004,0)=490,MAX($AA$4:AA493)+1,""))</f>
        <v/>
      </c>
    </row>
    <row r="495" spans="1:27">
      <c r="A495" s="9"/>
      <c r="Z495">
        <f>TRIM(A495&amp;"")</f>
        <v/>
      </c>
      <c r="AA495">
        <f>IF(Z495="","",IF(MATCH(SUBSTITUTE(SUBSTITUTE(SUBSTITUTE(Z495,"~","~~"),"*","~*"),"?","~?"),$Z$5:$Z$5004,0)=491,MAX($AA$4:AA494)+1,""))</f>
        <v/>
      </c>
    </row>
    <row r="496" spans="1:27">
      <c r="A496" s="9"/>
      <c r="Z496">
        <f>TRIM(A496&amp;"")</f>
        <v/>
      </c>
      <c r="AA496">
        <f>IF(Z496="","",IF(MATCH(SUBSTITUTE(SUBSTITUTE(SUBSTITUTE(Z496,"~","~~"),"*","~*"),"?","~?"),$Z$5:$Z$5004,0)=492,MAX($AA$4:AA495)+1,""))</f>
        <v/>
      </c>
    </row>
    <row r="497" spans="1:27">
      <c r="A497" s="9"/>
      <c r="Z497">
        <f>TRIM(A497&amp;"")</f>
        <v/>
      </c>
      <c r="AA497">
        <f>IF(Z497="","",IF(MATCH(SUBSTITUTE(SUBSTITUTE(SUBSTITUTE(Z497,"~","~~"),"*","~*"),"?","~?"),$Z$5:$Z$5004,0)=493,MAX($AA$4:AA496)+1,""))</f>
        <v/>
      </c>
    </row>
    <row r="498" spans="1:27">
      <c r="A498" s="9"/>
      <c r="Z498">
        <f>TRIM(A498&amp;"")</f>
        <v/>
      </c>
      <c r="AA498">
        <f>IF(Z498="","",IF(MATCH(SUBSTITUTE(SUBSTITUTE(SUBSTITUTE(Z498,"~","~~"),"*","~*"),"?","~?"),$Z$5:$Z$5004,0)=494,MAX($AA$4:AA497)+1,""))</f>
        <v/>
      </c>
    </row>
    <row r="499" spans="1:27">
      <c r="A499" s="9"/>
      <c r="Z499">
        <f>TRIM(A499&amp;"")</f>
        <v/>
      </c>
      <c r="AA499">
        <f>IF(Z499="","",IF(MATCH(SUBSTITUTE(SUBSTITUTE(SUBSTITUTE(Z499,"~","~~"),"*","~*"),"?","~?"),$Z$5:$Z$5004,0)=495,MAX($AA$4:AA498)+1,""))</f>
        <v/>
      </c>
    </row>
    <row r="500" spans="1:27">
      <c r="A500" s="9"/>
      <c r="Z500">
        <f>TRIM(A500&amp;"")</f>
        <v/>
      </c>
      <c r="AA500">
        <f>IF(Z500="","",IF(MATCH(SUBSTITUTE(SUBSTITUTE(SUBSTITUTE(Z500,"~","~~"),"*","~*"),"?","~?"),$Z$5:$Z$5004,0)=496,MAX($AA$4:AA499)+1,""))</f>
        <v/>
      </c>
    </row>
    <row r="501" spans="1:27">
      <c r="A501" s="9"/>
      <c r="Z501">
        <f>TRIM(A501&amp;"")</f>
        <v/>
      </c>
      <c r="AA501">
        <f>IF(Z501="","",IF(MATCH(SUBSTITUTE(SUBSTITUTE(SUBSTITUTE(Z501,"~","~~"),"*","~*"),"?","~?"),$Z$5:$Z$5004,0)=497,MAX($AA$4:AA500)+1,""))</f>
        <v/>
      </c>
    </row>
    <row r="502" spans="1:27">
      <c r="A502" s="9"/>
      <c r="Z502">
        <f>TRIM(A502&amp;"")</f>
        <v/>
      </c>
      <c r="AA502">
        <f>IF(Z502="","",IF(MATCH(SUBSTITUTE(SUBSTITUTE(SUBSTITUTE(Z502,"~","~~"),"*","~*"),"?","~?"),$Z$5:$Z$5004,0)=498,MAX($AA$4:AA501)+1,""))</f>
        <v/>
      </c>
    </row>
    <row r="503" spans="1:27">
      <c r="A503" s="9"/>
      <c r="Z503">
        <f>TRIM(A503&amp;"")</f>
        <v/>
      </c>
      <c r="AA503">
        <f>IF(Z503="","",IF(MATCH(SUBSTITUTE(SUBSTITUTE(SUBSTITUTE(Z503,"~","~~"),"*","~*"),"?","~?"),$Z$5:$Z$5004,0)=499,MAX($AA$4:AA502)+1,""))</f>
        <v/>
      </c>
    </row>
    <row r="504" spans="1:27">
      <c r="A504" s="9"/>
      <c r="Z504">
        <f>TRIM(A504&amp;"")</f>
        <v/>
      </c>
      <c r="AA504">
        <f>IF(Z504="","",IF(MATCH(SUBSTITUTE(SUBSTITUTE(SUBSTITUTE(Z504,"~","~~"),"*","~*"),"?","~?"),$Z$5:$Z$5004,0)=500,MAX($AA$4:AA503)+1,""))</f>
        <v/>
      </c>
    </row>
    <row r="505" spans="1:27">
      <c r="A505" s="9"/>
      <c r="Z505">
        <f>TRIM(A505&amp;"")</f>
        <v/>
      </c>
      <c r="AA505">
        <f>IF(Z505="","",IF(MATCH(SUBSTITUTE(SUBSTITUTE(SUBSTITUTE(Z505,"~","~~"),"*","~*"),"?","~?"),$Z$5:$Z$5004,0)=501,MAX($AA$4:AA504)+1,""))</f>
        <v/>
      </c>
    </row>
    <row r="506" spans="1:27">
      <c r="A506" s="9"/>
      <c r="Z506">
        <f>TRIM(A506&amp;"")</f>
        <v/>
      </c>
      <c r="AA506">
        <f>IF(Z506="","",IF(MATCH(SUBSTITUTE(SUBSTITUTE(SUBSTITUTE(Z506,"~","~~"),"*","~*"),"?","~?"),$Z$5:$Z$5004,0)=502,MAX($AA$4:AA505)+1,""))</f>
        <v/>
      </c>
    </row>
    <row r="507" spans="1:27">
      <c r="A507" s="9"/>
      <c r="Z507">
        <f>TRIM(A507&amp;"")</f>
        <v/>
      </c>
      <c r="AA507">
        <f>IF(Z507="","",IF(MATCH(SUBSTITUTE(SUBSTITUTE(SUBSTITUTE(Z507,"~","~~"),"*","~*"),"?","~?"),$Z$5:$Z$5004,0)=503,MAX($AA$4:AA506)+1,""))</f>
        <v/>
      </c>
    </row>
    <row r="508" spans="1:27">
      <c r="A508" s="9"/>
      <c r="Z508">
        <f>TRIM(A508&amp;"")</f>
        <v/>
      </c>
      <c r="AA508">
        <f>IF(Z508="","",IF(MATCH(SUBSTITUTE(SUBSTITUTE(SUBSTITUTE(Z508,"~","~~"),"*","~*"),"?","~?"),$Z$5:$Z$5004,0)=504,MAX($AA$4:AA507)+1,""))</f>
        <v/>
      </c>
    </row>
    <row r="509" spans="1:27">
      <c r="A509" s="9"/>
      <c r="Z509">
        <f>TRIM(A509&amp;"")</f>
        <v/>
      </c>
      <c r="AA509">
        <f>IF(Z509="","",IF(MATCH(SUBSTITUTE(SUBSTITUTE(SUBSTITUTE(Z509,"~","~~"),"*","~*"),"?","~?"),$Z$5:$Z$5004,0)=505,MAX($AA$4:AA508)+1,""))</f>
        <v/>
      </c>
    </row>
    <row r="510" spans="1:27">
      <c r="A510" s="9"/>
      <c r="Z510">
        <f>TRIM(A510&amp;"")</f>
        <v/>
      </c>
      <c r="AA510">
        <f>IF(Z510="","",IF(MATCH(SUBSTITUTE(SUBSTITUTE(SUBSTITUTE(Z510,"~","~~"),"*","~*"),"?","~?"),$Z$5:$Z$5004,0)=506,MAX($AA$4:AA509)+1,""))</f>
        <v/>
      </c>
    </row>
    <row r="511" spans="1:27">
      <c r="A511" s="9"/>
      <c r="Z511">
        <f>TRIM(A511&amp;"")</f>
        <v/>
      </c>
      <c r="AA511">
        <f>IF(Z511="","",IF(MATCH(SUBSTITUTE(SUBSTITUTE(SUBSTITUTE(Z511,"~","~~"),"*","~*"),"?","~?"),$Z$5:$Z$5004,0)=507,MAX($AA$4:AA510)+1,""))</f>
        <v/>
      </c>
    </row>
    <row r="512" spans="1:27">
      <c r="A512" s="9"/>
      <c r="Z512">
        <f>TRIM(A512&amp;"")</f>
        <v/>
      </c>
      <c r="AA512">
        <f>IF(Z512="","",IF(MATCH(SUBSTITUTE(SUBSTITUTE(SUBSTITUTE(Z512,"~","~~"),"*","~*"),"?","~?"),$Z$5:$Z$5004,0)=508,MAX($AA$4:AA511)+1,""))</f>
        <v/>
      </c>
    </row>
    <row r="513" spans="1:27">
      <c r="A513" s="9"/>
      <c r="Z513">
        <f>TRIM(A513&amp;"")</f>
        <v/>
      </c>
      <c r="AA513">
        <f>IF(Z513="","",IF(MATCH(SUBSTITUTE(SUBSTITUTE(SUBSTITUTE(Z513,"~","~~"),"*","~*"),"?","~?"),$Z$5:$Z$5004,0)=509,MAX($AA$4:AA512)+1,""))</f>
        <v/>
      </c>
    </row>
    <row r="514" spans="1:27">
      <c r="A514" s="9"/>
      <c r="Z514">
        <f>TRIM(A514&amp;"")</f>
        <v/>
      </c>
      <c r="AA514">
        <f>IF(Z514="","",IF(MATCH(SUBSTITUTE(SUBSTITUTE(SUBSTITUTE(Z514,"~","~~"),"*","~*"),"?","~?"),$Z$5:$Z$5004,0)=510,MAX($AA$4:AA513)+1,""))</f>
        <v/>
      </c>
    </row>
    <row r="515" spans="1:27">
      <c r="A515" s="9"/>
      <c r="Z515">
        <f>TRIM(A515&amp;"")</f>
        <v/>
      </c>
      <c r="AA515">
        <f>IF(Z515="","",IF(MATCH(SUBSTITUTE(SUBSTITUTE(SUBSTITUTE(Z515,"~","~~"),"*","~*"),"?","~?"),$Z$5:$Z$5004,0)=511,MAX($AA$4:AA514)+1,""))</f>
        <v/>
      </c>
    </row>
    <row r="516" spans="1:27">
      <c r="A516" s="9"/>
      <c r="Z516">
        <f>TRIM(A516&amp;"")</f>
        <v/>
      </c>
      <c r="AA516">
        <f>IF(Z516="","",IF(MATCH(SUBSTITUTE(SUBSTITUTE(SUBSTITUTE(Z516,"~","~~"),"*","~*"),"?","~?"),$Z$5:$Z$5004,0)=512,MAX($AA$4:AA515)+1,""))</f>
        <v/>
      </c>
    </row>
    <row r="517" spans="1:27">
      <c r="A517" s="9"/>
      <c r="Z517">
        <f>TRIM(A517&amp;"")</f>
        <v/>
      </c>
      <c r="AA517">
        <f>IF(Z517="","",IF(MATCH(SUBSTITUTE(SUBSTITUTE(SUBSTITUTE(Z517,"~","~~"),"*","~*"),"?","~?"),$Z$5:$Z$5004,0)=513,MAX($AA$4:AA516)+1,""))</f>
        <v/>
      </c>
    </row>
    <row r="518" spans="1:27">
      <c r="A518" s="9"/>
      <c r="Z518">
        <f>TRIM(A518&amp;"")</f>
        <v/>
      </c>
      <c r="AA518">
        <f>IF(Z518="","",IF(MATCH(SUBSTITUTE(SUBSTITUTE(SUBSTITUTE(Z518,"~","~~"),"*","~*"),"?","~?"),$Z$5:$Z$5004,0)=514,MAX($AA$4:AA517)+1,""))</f>
        <v/>
      </c>
    </row>
    <row r="519" spans="1:27">
      <c r="A519" s="9"/>
      <c r="Z519">
        <f>TRIM(A519&amp;"")</f>
        <v/>
      </c>
      <c r="AA519">
        <f>IF(Z519="","",IF(MATCH(SUBSTITUTE(SUBSTITUTE(SUBSTITUTE(Z519,"~","~~"),"*","~*"),"?","~?"),$Z$5:$Z$5004,0)=515,MAX($AA$4:AA518)+1,""))</f>
        <v/>
      </c>
    </row>
    <row r="520" spans="1:27">
      <c r="A520" s="9"/>
      <c r="Z520">
        <f>TRIM(A520&amp;"")</f>
        <v/>
      </c>
      <c r="AA520">
        <f>IF(Z520="","",IF(MATCH(SUBSTITUTE(SUBSTITUTE(SUBSTITUTE(Z520,"~","~~"),"*","~*"),"?","~?"),$Z$5:$Z$5004,0)=516,MAX($AA$4:AA519)+1,""))</f>
        <v/>
      </c>
    </row>
    <row r="521" spans="1:27">
      <c r="A521" s="9"/>
      <c r="Z521">
        <f>TRIM(A521&amp;"")</f>
        <v/>
      </c>
      <c r="AA521">
        <f>IF(Z521="","",IF(MATCH(SUBSTITUTE(SUBSTITUTE(SUBSTITUTE(Z521,"~","~~"),"*","~*"),"?","~?"),$Z$5:$Z$5004,0)=517,MAX($AA$4:AA520)+1,""))</f>
        <v/>
      </c>
    </row>
    <row r="522" spans="1:27">
      <c r="A522" s="9"/>
      <c r="Z522">
        <f>TRIM(A522&amp;"")</f>
        <v/>
      </c>
      <c r="AA522">
        <f>IF(Z522="","",IF(MATCH(SUBSTITUTE(SUBSTITUTE(SUBSTITUTE(Z522,"~","~~"),"*","~*"),"?","~?"),$Z$5:$Z$5004,0)=518,MAX($AA$4:AA521)+1,""))</f>
        <v/>
      </c>
    </row>
    <row r="523" spans="1:27">
      <c r="A523" s="9"/>
      <c r="Z523">
        <f>TRIM(A523&amp;"")</f>
        <v/>
      </c>
      <c r="AA523">
        <f>IF(Z523="","",IF(MATCH(SUBSTITUTE(SUBSTITUTE(SUBSTITUTE(Z523,"~","~~"),"*","~*"),"?","~?"),$Z$5:$Z$5004,0)=519,MAX($AA$4:AA522)+1,""))</f>
        <v/>
      </c>
    </row>
    <row r="524" spans="1:27">
      <c r="A524" s="9"/>
      <c r="Z524">
        <f>TRIM(A524&amp;"")</f>
        <v/>
      </c>
      <c r="AA524">
        <f>IF(Z524="","",IF(MATCH(SUBSTITUTE(SUBSTITUTE(SUBSTITUTE(Z524,"~","~~"),"*","~*"),"?","~?"),$Z$5:$Z$5004,0)=520,MAX($AA$4:AA523)+1,""))</f>
        <v/>
      </c>
    </row>
    <row r="525" spans="1:27">
      <c r="A525" s="9"/>
      <c r="Z525">
        <f>TRIM(A525&amp;"")</f>
        <v/>
      </c>
      <c r="AA525">
        <f>IF(Z525="","",IF(MATCH(SUBSTITUTE(SUBSTITUTE(SUBSTITUTE(Z525,"~","~~"),"*","~*"),"?","~?"),$Z$5:$Z$5004,0)=521,MAX($AA$4:AA524)+1,""))</f>
        <v/>
      </c>
    </row>
    <row r="526" spans="1:27">
      <c r="A526" s="9"/>
      <c r="Z526">
        <f>TRIM(A526&amp;"")</f>
        <v/>
      </c>
      <c r="AA526">
        <f>IF(Z526="","",IF(MATCH(SUBSTITUTE(SUBSTITUTE(SUBSTITUTE(Z526,"~","~~"),"*","~*"),"?","~?"),$Z$5:$Z$5004,0)=522,MAX($AA$4:AA525)+1,""))</f>
        <v/>
      </c>
    </row>
    <row r="527" spans="1:27">
      <c r="A527" s="9"/>
      <c r="Z527">
        <f>TRIM(A527&amp;"")</f>
        <v/>
      </c>
      <c r="AA527">
        <f>IF(Z527="","",IF(MATCH(SUBSTITUTE(SUBSTITUTE(SUBSTITUTE(Z527,"~","~~"),"*","~*"),"?","~?"),$Z$5:$Z$5004,0)=523,MAX($AA$4:AA526)+1,""))</f>
        <v/>
      </c>
    </row>
    <row r="528" spans="1:27">
      <c r="A528" s="9"/>
      <c r="Z528">
        <f>TRIM(A528&amp;"")</f>
        <v/>
      </c>
      <c r="AA528">
        <f>IF(Z528="","",IF(MATCH(SUBSTITUTE(SUBSTITUTE(SUBSTITUTE(Z528,"~","~~"),"*","~*"),"?","~?"),$Z$5:$Z$5004,0)=524,MAX($AA$4:AA527)+1,""))</f>
        <v/>
      </c>
    </row>
    <row r="529" spans="1:27">
      <c r="A529" s="9"/>
      <c r="Z529">
        <f>TRIM(A529&amp;"")</f>
        <v/>
      </c>
      <c r="AA529">
        <f>IF(Z529="","",IF(MATCH(SUBSTITUTE(SUBSTITUTE(SUBSTITUTE(Z529,"~","~~"),"*","~*"),"?","~?"),$Z$5:$Z$5004,0)=525,MAX($AA$4:AA528)+1,""))</f>
        <v/>
      </c>
    </row>
    <row r="530" spans="1:27">
      <c r="A530" s="9"/>
      <c r="Z530">
        <f>TRIM(A530&amp;"")</f>
        <v/>
      </c>
      <c r="AA530">
        <f>IF(Z530="","",IF(MATCH(SUBSTITUTE(SUBSTITUTE(SUBSTITUTE(Z530,"~","~~"),"*","~*"),"?","~?"),$Z$5:$Z$5004,0)=526,MAX($AA$4:AA529)+1,""))</f>
        <v/>
      </c>
    </row>
    <row r="531" spans="1:27">
      <c r="A531" s="9"/>
      <c r="Z531">
        <f>TRIM(A531&amp;"")</f>
        <v/>
      </c>
      <c r="AA531">
        <f>IF(Z531="","",IF(MATCH(SUBSTITUTE(SUBSTITUTE(SUBSTITUTE(Z531,"~","~~"),"*","~*"),"?","~?"),$Z$5:$Z$5004,0)=527,MAX($AA$4:AA530)+1,""))</f>
        <v/>
      </c>
    </row>
    <row r="532" spans="1:27">
      <c r="A532" s="9"/>
      <c r="Z532">
        <f>TRIM(A532&amp;"")</f>
        <v/>
      </c>
      <c r="AA532">
        <f>IF(Z532="","",IF(MATCH(SUBSTITUTE(SUBSTITUTE(SUBSTITUTE(Z532,"~","~~"),"*","~*"),"?","~?"),$Z$5:$Z$5004,0)=528,MAX($AA$4:AA531)+1,""))</f>
        <v/>
      </c>
    </row>
    <row r="533" spans="1:27">
      <c r="A533" s="9"/>
      <c r="Z533">
        <f>TRIM(A533&amp;"")</f>
        <v/>
      </c>
      <c r="AA533">
        <f>IF(Z533="","",IF(MATCH(SUBSTITUTE(SUBSTITUTE(SUBSTITUTE(Z533,"~","~~"),"*","~*"),"?","~?"),$Z$5:$Z$5004,0)=529,MAX($AA$4:AA532)+1,""))</f>
        <v/>
      </c>
    </row>
    <row r="534" spans="1:27">
      <c r="A534" s="9"/>
      <c r="Z534">
        <f>TRIM(A534&amp;"")</f>
        <v/>
      </c>
      <c r="AA534">
        <f>IF(Z534="","",IF(MATCH(SUBSTITUTE(SUBSTITUTE(SUBSTITUTE(Z534,"~","~~"),"*","~*"),"?","~?"),$Z$5:$Z$5004,0)=530,MAX($AA$4:AA533)+1,""))</f>
        <v/>
      </c>
    </row>
    <row r="535" spans="1:27">
      <c r="A535" s="9"/>
      <c r="Z535">
        <f>TRIM(A535&amp;"")</f>
        <v/>
      </c>
      <c r="AA535">
        <f>IF(Z535="","",IF(MATCH(SUBSTITUTE(SUBSTITUTE(SUBSTITUTE(Z535,"~","~~"),"*","~*"),"?","~?"),$Z$5:$Z$5004,0)=531,MAX($AA$4:AA534)+1,""))</f>
        <v/>
      </c>
    </row>
    <row r="536" spans="1:27">
      <c r="A536" s="9"/>
      <c r="Z536">
        <f>TRIM(A536&amp;"")</f>
        <v/>
      </c>
      <c r="AA536">
        <f>IF(Z536="","",IF(MATCH(SUBSTITUTE(SUBSTITUTE(SUBSTITUTE(Z536,"~","~~"),"*","~*"),"?","~?"),$Z$5:$Z$5004,0)=532,MAX($AA$4:AA535)+1,""))</f>
        <v/>
      </c>
    </row>
    <row r="537" spans="1:27">
      <c r="A537" s="9"/>
      <c r="Z537">
        <f>TRIM(A537&amp;"")</f>
        <v/>
      </c>
      <c r="AA537">
        <f>IF(Z537="","",IF(MATCH(SUBSTITUTE(SUBSTITUTE(SUBSTITUTE(Z537,"~","~~"),"*","~*"),"?","~?"),$Z$5:$Z$5004,0)=533,MAX($AA$4:AA536)+1,""))</f>
        <v/>
      </c>
    </row>
    <row r="538" spans="1:27">
      <c r="A538" s="9"/>
      <c r="Z538">
        <f>TRIM(A538&amp;"")</f>
        <v/>
      </c>
      <c r="AA538">
        <f>IF(Z538="","",IF(MATCH(SUBSTITUTE(SUBSTITUTE(SUBSTITUTE(Z538,"~","~~"),"*","~*"),"?","~?"),$Z$5:$Z$5004,0)=534,MAX($AA$4:AA537)+1,""))</f>
        <v/>
      </c>
    </row>
    <row r="539" spans="1:27">
      <c r="A539" s="9"/>
      <c r="Z539">
        <f>TRIM(A539&amp;"")</f>
        <v/>
      </c>
      <c r="AA539">
        <f>IF(Z539="","",IF(MATCH(SUBSTITUTE(SUBSTITUTE(SUBSTITUTE(Z539,"~","~~"),"*","~*"),"?","~?"),$Z$5:$Z$5004,0)=535,MAX($AA$4:AA538)+1,""))</f>
        <v/>
      </c>
    </row>
    <row r="540" spans="1:27">
      <c r="A540" s="9"/>
      <c r="Z540">
        <f>TRIM(A540&amp;"")</f>
        <v/>
      </c>
      <c r="AA540">
        <f>IF(Z540="","",IF(MATCH(SUBSTITUTE(SUBSTITUTE(SUBSTITUTE(Z540,"~","~~"),"*","~*"),"?","~?"),$Z$5:$Z$5004,0)=536,MAX($AA$4:AA539)+1,""))</f>
        <v/>
      </c>
    </row>
    <row r="541" spans="1:27">
      <c r="A541" s="9"/>
      <c r="Z541">
        <f>TRIM(A541&amp;"")</f>
        <v/>
      </c>
      <c r="AA541">
        <f>IF(Z541="","",IF(MATCH(SUBSTITUTE(SUBSTITUTE(SUBSTITUTE(Z541,"~","~~"),"*","~*"),"?","~?"),$Z$5:$Z$5004,0)=537,MAX($AA$4:AA540)+1,""))</f>
        <v/>
      </c>
    </row>
    <row r="542" spans="1:27">
      <c r="A542" s="9"/>
      <c r="Z542">
        <f>TRIM(A542&amp;"")</f>
        <v/>
      </c>
      <c r="AA542">
        <f>IF(Z542="","",IF(MATCH(SUBSTITUTE(SUBSTITUTE(SUBSTITUTE(Z542,"~","~~"),"*","~*"),"?","~?"),$Z$5:$Z$5004,0)=538,MAX($AA$4:AA541)+1,""))</f>
        <v/>
      </c>
    </row>
    <row r="543" spans="1:27">
      <c r="A543" s="9"/>
      <c r="Z543">
        <f>TRIM(A543&amp;"")</f>
        <v/>
      </c>
      <c r="AA543">
        <f>IF(Z543="","",IF(MATCH(SUBSTITUTE(SUBSTITUTE(SUBSTITUTE(Z543,"~","~~"),"*","~*"),"?","~?"),$Z$5:$Z$5004,0)=539,MAX($AA$4:AA542)+1,""))</f>
        <v/>
      </c>
    </row>
    <row r="544" spans="1:27">
      <c r="A544" s="9"/>
      <c r="Z544">
        <f>TRIM(A544&amp;"")</f>
        <v/>
      </c>
      <c r="AA544">
        <f>IF(Z544="","",IF(MATCH(SUBSTITUTE(SUBSTITUTE(SUBSTITUTE(Z544,"~","~~"),"*","~*"),"?","~?"),$Z$5:$Z$5004,0)=540,MAX($AA$4:AA543)+1,""))</f>
        <v/>
      </c>
    </row>
    <row r="545" spans="1:27">
      <c r="A545" s="9"/>
      <c r="Z545">
        <f>TRIM(A545&amp;"")</f>
        <v/>
      </c>
      <c r="AA545">
        <f>IF(Z545="","",IF(MATCH(SUBSTITUTE(SUBSTITUTE(SUBSTITUTE(Z545,"~","~~"),"*","~*"),"?","~?"),$Z$5:$Z$5004,0)=541,MAX($AA$4:AA544)+1,""))</f>
        <v/>
      </c>
    </row>
    <row r="546" spans="1:27">
      <c r="A546" s="9"/>
      <c r="Z546">
        <f>TRIM(A546&amp;"")</f>
        <v/>
      </c>
      <c r="AA546">
        <f>IF(Z546="","",IF(MATCH(SUBSTITUTE(SUBSTITUTE(SUBSTITUTE(Z546,"~","~~"),"*","~*"),"?","~?"),$Z$5:$Z$5004,0)=542,MAX($AA$4:AA545)+1,""))</f>
        <v/>
      </c>
    </row>
    <row r="547" spans="1:27">
      <c r="A547" s="9"/>
      <c r="Z547">
        <f>TRIM(A547&amp;"")</f>
        <v/>
      </c>
      <c r="AA547">
        <f>IF(Z547="","",IF(MATCH(SUBSTITUTE(SUBSTITUTE(SUBSTITUTE(Z547,"~","~~"),"*","~*"),"?","~?"),$Z$5:$Z$5004,0)=543,MAX($AA$4:AA546)+1,""))</f>
        <v/>
      </c>
    </row>
    <row r="548" spans="1:27">
      <c r="A548" s="9"/>
      <c r="Z548">
        <f>TRIM(A548&amp;"")</f>
        <v/>
      </c>
      <c r="AA548">
        <f>IF(Z548="","",IF(MATCH(SUBSTITUTE(SUBSTITUTE(SUBSTITUTE(Z548,"~","~~"),"*","~*"),"?","~?"),$Z$5:$Z$5004,0)=544,MAX($AA$4:AA547)+1,""))</f>
        <v/>
      </c>
    </row>
    <row r="549" spans="1:27">
      <c r="A549" s="9"/>
      <c r="Z549">
        <f>TRIM(A549&amp;"")</f>
        <v/>
      </c>
      <c r="AA549">
        <f>IF(Z549="","",IF(MATCH(SUBSTITUTE(SUBSTITUTE(SUBSTITUTE(Z549,"~","~~"),"*","~*"),"?","~?"),$Z$5:$Z$5004,0)=545,MAX($AA$4:AA548)+1,""))</f>
        <v/>
      </c>
    </row>
    <row r="550" spans="1:27">
      <c r="A550" s="9"/>
      <c r="Z550">
        <f>TRIM(A550&amp;"")</f>
        <v/>
      </c>
      <c r="AA550">
        <f>IF(Z550="","",IF(MATCH(SUBSTITUTE(SUBSTITUTE(SUBSTITUTE(Z550,"~","~~"),"*","~*"),"?","~?"),$Z$5:$Z$5004,0)=546,MAX($AA$4:AA549)+1,""))</f>
        <v/>
      </c>
    </row>
    <row r="551" spans="1:27">
      <c r="A551" s="9"/>
      <c r="Z551">
        <f>TRIM(A551&amp;"")</f>
        <v/>
      </c>
      <c r="AA551">
        <f>IF(Z551="","",IF(MATCH(SUBSTITUTE(SUBSTITUTE(SUBSTITUTE(Z551,"~","~~"),"*","~*"),"?","~?"),$Z$5:$Z$5004,0)=547,MAX($AA$4:AA550)+1,""))</f>
        <v/>
      </c>
    </row>
    <row r="552" spans="1:27">
      <c r="A552" s="9"/>
      <c r="Z552">
        <f>TRIM(A552&amp;"")</f>
        <v/>
      </c>
      <c r="AA552">
        <f>IF(Z552="","",IF(MATCH(SUBSTITUTE(SUBSTITUTE(SUBSTITUTE(Z552,"~","~~"),"*","~*"),"?","~?"),$Z$5:$Z$5004,0)=548,MAX($AA$4:AA551)+1,""))</f>
        <v/>
      </c>
    </row>
    <row r="553" spans="1:27">
      <c r="A553" s="9"/>
      <c r="Z553">
        <f>TRIM(A553&amp;"")</f>
        <v/>
      </c>
      <c r="AA553">
        <f>IF(Z553="","",IF(MATCH(SUBSTITUTE(SUBSTITUTE(SUBSTITUTE(Z553,"~","~~"),"*","~*"),"?","~?"),$Z$5:$Z$5004,0)=549,MAX($AA$4:AA552)+1,""))</f>
        <v/>
      </c>
    </row>
    <row r="554" spans="1:27">
      <c r="A554" s="9"/>
      <c r="Z554">
        <f>TRIM(A554&amp;"")</f>
        <v/>
      </c>
      <c r="AA554">
        <f>IF(Z554="","",IF(MATCH(SUBSTITUTE(SUBSTITUTE(SUBSTITUTE(Z554,"~","~~"),"*","~*"),"?","~?"),$Z$5:$Z$5004,0)=550,MAX($AA$4:AA553)+1,""))</f>
        <v/>
      </c>
    </row>
    <row r="555" spans="1:27">
      <c r="A555" s="9"/>
      <c r="Z555">
        <f>TRIM(A555&amp;"")</f>
        <v/>
      </c>
      <c r="AA555">
        <f>IF(Z555="","",IF(MATCH(SUBSTITUTE(SUBSTITUTE(SUBSTITUTE(Z555,"~","~~"),"*","~*"),"?","~?"),$Z$5:$Z$5004,0)=551,MAX($AA$4:AA554)+1,""))</f>
        <v/>
      </c>
    </row>
    <row r="556" spans="1:27">
      <c r="A556" s="9"/>
      <c r="Z556">
        <f>TRIM(A556&amp;"")</f>
        <v/>
      </c>
      <c r="AA556">
        <f>IF(Z556="","",IF(MATCH(SUBSTITUTE(SUBSTITUTE(SUBSTITUTE(Z556,"~","~~"),"*","~*"),"?","~?"),$Z$5:$Z$5004,0)=552,MAX($AA$4:AA555)+1,""))</f>
        <v/>
      </c>
    </row>
    <row r="557" spans="1:27">
      <c r="A557" s="9"/>
      <c r="Z557">
        <f>TRIM(A557&amp;"")</f>
        <v/>
      </c>
      <c r="AA557">
        <f>IF(Z557="","",IF(MATCH(SUBSTITUTE(SUBSTITUTE(SUBSTITUTE(Z557,"~","~~"),"*","~*"),"?","~?"),$Z$5:$Z$5004,0)=553,MAX($AA$4:AA556)+1,""))</f>
        <v/>
      </c>
    </row>
    <row r="558" spans="1:27">
      <c r="A558" s="9"/>
      <c r="Z558">
        <f>TRIM(A558&amp;"")</f>
        <v/>
      </c>
      <c r="AA558">
        <f>IF(Z558="","",IF(MATCH(SUBSTITUTE(SUBSTITUTE(SUBSTITUTE(Z558,"~","~~"),"*","~*"),"?","~?"),$Z$5:$Z$5004,0)=554,MAX($AA$4:AA557)+1,""))</f>
        <v/>
      </c>
    </row>
    <row r="559" spans="1:27">
      <c r="A559" s="9"/>
      <c r="Z559">
        <f>TRIM(A559&amp;"")</f>
        <v/>
      </c>
      <c r="AA559">
        <f>IF(Z559="","",IF(MATCH(SUBSTITUTE(SUBSTITUTE(SUBSTITUTE(Z559,"~","~~"),"*","~*"),"?","~?"),$Z$5:$Z$5004,0)=555,MAX($AA$4:AA558)+1,""))</f>
        <v/>
      </c>
    </row>
    <row r="560" spans="1:27">
      <c r="A560" s="9"/>
      <c r="Z560">
        <f>TRIM(A560&amp;"")</f>
        <v/>
      </c>
      <c r="AA560">
        <f>IF(Z560="","",IF(MATCH(SUBSTITUTE(SUBSTITUTE(SUBSTITUTE(Z560,"~","~~"),"*","~*"),"?","~?"),$Z$5:$Z$5004,0)=556,MAX($AA$4:AA559)+1,""))</f>
        <v/>
      </c>
    </row>
    <row r="561" spans="1:27">
      <c r="A561" s="9"/>
      <c r="Z561">
        <f>TRIM(A561&amp;"")</f>
        <v/>
      </c>
      <c r="AA561">
        <f>IF(Z561="","",IF(MATCH(SUBSTITUTE(SUBSTITUTE(SUBSTITUTE(Z561,"~","~~"),"*","~*"),"?","~?"),$Z$5:$Z$5004,0)=557,MAX($AA$4:AA560)+1,""))</f>
        <v/>
      </c>
    </row>
    <row r="562" spans="1:27">
      <c r="A562" s="9"/>
      <c r="Z562">
        <f>TRIM(A562&amp;"")</f>
        <v/>
      </c>
      <c r="AA562">
        <f>IF(Z562="","",IF(MATCH(SUBSTITUTE(SUBSTITUTE(SUBSTITUTE(Z562,"~","~~"),"*","~*"),"?","~?"),$Z$5:$Z$5004,0)=558,MAX($AA$4:AA561)+1,""))</f>
        <v/>
      </c>
    </row>
    <row r="563" spans="1:27">
      <c r="A563" s="9"/>
      <c r="Z563">
        <f>TRIM(A563&amp;"")</f>
        <v/>
      </c>
      <c r="AA563">
        <f>IF(Z563="","",IF(MATCH(SUBSTITUTE(SUBSTITUTE(SUBSTITUTE(Z563,"~","~~"),"*","~*"),"?","~?"),$Z$5:$Z$5004,0)=559,MAX($AA$4:AA562)+1,""))</f>
        <v/>
      </c>
    </row>
    <row r="564" spans="1:27">
      <c r="A564" s="9"/>
      <c r="Z564">
        <f>TRIM(A564&amp;"")</f>
        <v/>
      </c>
      <c r="AA564">
        <f>IF(Z564="","",IF(MATCH(SUBSTITUTE(SUBSTITUTE(SUBSTITUTE(Z564,"~","~~"),"*","~*"),"?","~?"),$Z$5:$Z$5004,0)=560,MAX($AA$4:AA563)+1,""))</f>
        <v/>
      </c>
    </row>
    <row r="565" spans="1:27">
      <c r="A565" s="9"/>
      <c r="Z565">
        <f>TRIM(A565&amp;"")</f>
        <v/>
      </c>
      <c r="AA565">
        <f>IF(Z565="","",IF(MATCH(SUBSTITUTE(SUBSTITUTE(SUBSTITUTE(Z565,"~","~~"),"*","~*"),"?","~?"),$Z$5:$Z$5004,0)=561,MAX($AA$4:AA564)+1,""))</f>
        <v/>
      </c>
    </row>
    <row r="566" spans="1:27">
      <c r="A566" s="9"/>
      <c r="Z566">
        <f>TRIM(A566&amp;"")</f>
        <v/>
      </c>
      <c r="AA566">
        <f>IF(Z566="","",IF(MATCH(SUBSTITUTE(SUBSTITUTE(SUBSTITUTE(Z566,"~","~~"),"*","~*"),"?","~?"),$Z$5:$Z$5004,0)=562,MAX($AA$4:AA565)+1,""))</f>
        <v/>
      </c>
    </row>
    <row r="567" spans="1:27">
      <c r="A567" s="9"/>
      <c r="Z567">
        <f>TRIM(A567&amp;"")</f>
        <v/>
      </c>
      <c r="AA567">
        <f>IF(Z567="","",IF(MATCH(SUBSTITUTE(SUBSTITUTE(SUBSTITUTE(Z567,"~","~~"),"*","~*"),"?","~?"),$Z$5:$Z$5004,0)=563,MAX($AA$4:AA566)+1,""))</f>
        <v/>
      </c>
    </row>
    <row r="568" spans="1:27">
      <c r="A568" s="9"/>
      <c r="Z568">
        <f>TRIM(A568&amp;"")</f>
        <v/>
      </c>
      <c r="AA568">
        <f>IF(Z568="","",IF(MATCH(SUBSTITUTE(SUBSTITUTE(SUBSTITUTE(Z568,"~","~~"),"*","~*"),"?","~?"),$Z$5:$Z$5004,0)=564,MAX($AA$4:AA567)+1,""))</f>
        <v/>
      </c>
    </row>
    <row r="569" spans="1:27">
      <c r="A569" s="9"/>
      <c r="Z569">
        <f>TRIM(A569&amp;"")</f>
        <v/>
      </c>
      <c r="AA569">
        <f>IF(Z569="","",IF(MATCH(SUBSTITUTE(SUBSTITUTE(SUBSTITUTE(Z569,"~","~~"),"*","~*"),"?","~?"),$Z$5:$Z$5004,0)=565,MAX($AA$4:AA568)+1,""))</f>
        <v/>
      </c>
    </row>
    <row r="570" spans="1:27">
      <c r="A570" s="9"/>
      <c r="Z570">
        <f>TRIM(A570&amp;"")</f>
        <v/>
      </c>
      <c r="AA570">
        <f>IF(Z570="","",IF(MATCH(SUBSTITUTE(SUBSTITUTE(SUBSTITUTE(Z570,"~","~~"),"*","~*"),"?","~?"),$Z$5:$Z$5004,0)=566,MAX($AA$4:AA569)+1,""))</f>
        <v/>
      </c>
    </row>
    <row r="571" spans="1:27">
      <c r="A571" s="9"/>
      <c r="Z571">
        <f>TRIM(A571&amp;"")</f>
        <v/>
      </c>
      <c r="AA571">
        <f>IF(Z571="","",IF(MATCH(SUBSTITUTE(SUBSTITUTE(SUBSTITUTE(Z571,"~","~~"),"*","~*"),"?","~?"),$Z$5:$Z$5004,0)=567,MAX($AA$4:AA570)+1,""))</f>
        <v/>
      </c>
    </row>
    <row r="572" spans="1:27">
      <c r="A572" s="9"/>
      <c r="Z572">
        <f>TRIM(A572&amp;"")</f>
        <v/>
      </c>
      <c r="AA572">
        <f>IF(Z572="","",IF(MATCH(SUBSTITUTE(SUBSTITUTE(SUBSTITUTE(Z572,"~","~~"),"*","~*"),"?","~?"),$Z$5:$Z$5004,0)=568,MAX($AA$4:AA571)+1,""))</f>
        <v/>
      </c>
    </row>
    <row r="573" spans="1:27">
      <c r="A573" s="9"/>
      <c r="Z573">
        <f>TRIM(A573&amp;"")</f>
        <v/>
      </c>
      <c r="AA573">
        <f>IF(Z573="","",IF(MATCH(SUBSTITUTE(SUBSTITUTE(SUBSTITUTE(Z573,"~","~~"),"*","~*"),"?","~?"),$Z$5:$Z$5004,0)=569,MAX($AA$4:AA572)+1,""))</f>
        <v/>
      </c>
    </row>
    <row r="574" spans="1:27">
      <c r="A574" s="9"/>
      <c r="Z574">
        <f>TRIM(A574&amp;"")</f>
        <v/>
      </c>
      <c r="AA574">
        <f>IF(Z574="","",IF(MATCH(SUBSTITUTE(SUBSTITUTE(SUBSTITUTE(Z574,"~","~~"),"*","~*"),"?","~?"),$Z$5:$Z$5004,0)=570,MAX($AA$4:AA573)+1,""))</f>
        <v/>
      </c>
    </row>
    <row r="575" spans="1:27">
      <c r="A575" s="9"/>
      <c r="Z575">
        <f>TRIM(A575&amp;"")</f>
        <v/>
      </c>
      <c r="AA575">
        <f>IF(Z575="","",IF(MATCH(SUBSTITUTE(SUBSTITUTE(SUBSTITUTE(Z575,"~","~~"),"*","~*"),"?","~?"),$Z$5:$Z$5004,0)=571,MAX($AA$4:AA574)+1,""))</f>
        <v/>
      </c>
    </row>
    <row r="576" spans="1:27">
      <c r="A576" s="9"/>
      <c r="Z576">
        <f>TRIM(A576&amp;"")</f>
        <v/>
      </c>
      <c r="AA576">
        <f>IF(Z576="","",IF(MATCH(SUBSTITUTE(SUBSTITUTE(SUBSTITUTE(Z576,"~","~~"),"*","~*"),"?","~?"),$Z$5:$Z$5004,0)=572,MAX($AA$4:AA575)+1,""))</f>
        <v/>
      </c>
    </row>
    <row r="577" spans="1:27">
      <c r="A577" s="9"/>
      <c r="Z577">
        <f>TRIM(A577&amp;"")</f>
        <v/>
      </c>
      <c r="AA577">
        <f>IF(Z577="","",IF(MATCH(SUBSTITUTE(SUBSTITUTE(SUBSTITUTE(Z577,"~","~~"),"*","~*"),"?","~?"),$Z$5:$Z$5004,0)=573,MAX($AA$4:AA576)+1,""))</f>
        <v/>
      </c>
    </row>
    <row r="578" spans="1:27">
      <c r="A578" s="9"/>
      <c r="Z578">
        <f>TRIM(A578&amp;"")</f>
        <v/>
      </c>
      <c r="AA578">
        <f>IF(Z578="","",IF(MATCH(SUBSTITUTE(SUBSTITUTE(SUBSTITUTE(Z578,"~","~~"),"*","~*"),"?","~?"),$Z$5:$Z$5004,0)=574,MAX($AA$4:AA577)+1,""))</f>
        <v/>
      </c>
    </row>
    <row r="579" spans="1:27">
      <c r="A579" s="9"/>
      <c r="Z579">
        <f>TRIM(A579&amp;"")</f>
        <v/>
      </c>
      <c r="AA579">
        <f>IF(Z579="","",IF(MATCH(SUBSTITUTE(SUBSTITUTE(SUBSTITUTE(Z579,"~","~~"),"*","~*"),"?","~?"),$Z$5:$Z$5004,0)=575,MAX($AA$4:AA578)+1,""))</f>
        <v/>
      </c>
    </row>
    <row r="580" spans="1:27">
      <c r="A580" s="9"/>
      <c r="Z580">
        <f>TRIM(A580&amp;"")</f>
        <v/>
      </c>
      <c r="AA580">
        <f>IF(Z580="","",IF(MATCH(SUBSTITUTE(SUBSTITUTE(SUBSTITUTE(Z580,"~","~~"),"*","~*"),"?","~?"),$Z$5:$Z$5004,0)=576,MAX($AA$4:AA579)+1,""))</f>
        <v/>
      </c>
    </row>
    <row r="581" spans="1:27">
      <c r="A581" s="9"/>
      <c r="Z581">
        <f>TRIM(A581&amp;"")</f>
        <v/>
      </c>
      <c r="AA581">
        <f>IF(Z581="","",IF(MATCH(SUBSTITUTE(SUBSTITUTE(SUBSTITUTE(Z581,"~","~~"),"*","~*"),"?","~?"),$Z$5:$Z$5004,0)=577,MAX($AA$4:AA580)+1,""))</f>
        <v/>
      </c>
    </row>
    <row r="582" spans="1:27">
      <c r="A582" s="9"/>
      <c r="Z582">
        <f>TRIM(A582&amp;"")</f>
        <v/>
      </c>
      <c r="AA582">
        <f>IF(Z582="","",IF(MATCH(SUBSTITUTE(SUBSTITUTE(SUBSTITUTE(Z582,"~","~~"),"*","~*"),"?","~?"),$Z$5:$Z$5004,0)=578,MAX($AA$4:AA581)+1,""))</f>
        <v/>
      </c>
    </row>
    <row r="583" spans="1:27">
      <c r="A583" s="9"/>
      <c r="Z583">
        <f>TRIM(A583&amp;"")</f>
        <v/>
      </c>
      <c r="AA583">
        <f>IF(Z583="","",IF(MATCH(SUBSTITUTE(SUBSTITUTE(SUBSTITUTE(Z583,"~","~~"),"*","~*"),"?","~?"),$Z$5:$Z$5004,0)=579,MAX($AA$4:AA582)+1,""))</f>
        <v/>
      </c>
    </row>
    <row r="584" spans="1:27">
      <c r="A584" s="9"/>
      <c r="Z584">
        <f>TRIM(A584&amp;"")</f>
        <v/>
      </c>
      <c r="AA584">
        <f>IF(Z584="","",IF(MATCH(SUBSTITUTE(SUBSTITUTE(SUBSTITUTE(Z584,"~","~~"),"*","~*"),"?","~?"),$Z$5:$Z$5004,0)=580,MAX($AA$4:AA583)+1,""))</f>
        <v/>
      </c>
    </row>
    <row r="585" spans="1:27">
      <c r="A585" s="9"/>
      <c r="Z585">
        <f>TRIM(A585&amp;"")</f>
        <v/>
      </c>
      <c r="AA585">
        <f>IF(Z585="","",IF(MATCH(SUBSTITUTE(SUBSTITUTE(SUBSTITUTE(Z585,"~","~~"),"*","~*"),"?","~?"),$Z$5:$Z$5004,0)=581,MAX($AA$4:AA584)+1,""))</f>
        <v/>
      </c>
    </row>
    <row r="586" spans="1:27">
      <c r="A586" s="9"/>
      <c r="Z586">
        <f>TRIM(A586&amp;"")</f>
        <v/>
      </c>
      <c r="AA586">
        <f>IF(Z586="","",IF(MATCH(SUBSTITUTE(SUBSTITUTE(SUBSTITUTE(Z586,"~","~~"),"*","~*"),"?","~?"),$Z$5:$Z$5004,0)=582,MAX($AA$4:AA585)+1,""))</f>
        <v/>
      </c>
    </row>
    <row r="587" spans="1:27">
      <c r="A587" s="9"/>
      <c r="Z587">
        <f>TRIM(A587&amp;"")</f>
        <v/>
      </c>
      <c r="AA587">
        <f>IF(Z587="","",IF(MATCH(SUBSTITUTE(SUBSTITUTE(SUBSTITUTE(Z587,"~","~~"),"*","~*"),"?","~?"),$Z$5:$Z$5004,0)=583,MAX($AA$4:AA586)+1,""))</f>
        <v/>
      </c>
    </row>
    <row r="588" spans="1:27">
      <c r="A588" s="9"/>
      <c r="Z588">
        <f>TRIM(A588&amp;"")</f>
        <v/>
      </c>
      <c r="AA588">
        <f>IF(Z588="","",IF(MATCH(SUBSTITUTE(SUBSTITUTE(SUBSTITUTE(Z588,"~","~~"),"*","~*"),"?","~?"),$Z$5:$Z$5004,0)=584,MAX($AA$4:AA587)+1,""))</f>
        <v/>
      </c>
    </row>
    <row r="589" spans="1:27">
      <c r="A589" s="9"/>
      <c r="Z589">
        <f>TRIM(A589&amp;"")</f>
        <v/>
      </c>
      <c r="AA589">
        <f>IF(Z589="","",IF(MATCH(SUBSTITUTE(SUBSTITUTE(SUBSTITUTE(Z589,"~","~~"),"*","~*"),"?","~?"),$Z$5:$Z$5004,0)=585,MAX($AA$4:AA588)+1,""))</f>
        <v/>
      </c>
    </row>
    <row r="590" spans="1:27">
      <c r="A590" s="9"/>
      <c r="Z590">
        <f>TRIM(A590&amp;"")</f>
        <v/>
      </c>
      <c r="AA590">
        <f>IF(Z590="","",IF(MATCH(SUBSTITUTE(SUBSTITUTE(SUBSTITUTE(Z590,"~","~~"),"*","~*"),"?","~?"),$Z$5:$Z$5004,0)=586,MAX($AA$4:AA589)+1,""))</f>
        <v/>
      </c>
    </row>
    <row r="591" spans="1:27">
      <c r="A591" s="9"/>
      <c r="Z591">
        <f>TRIM(A591&amp;"")</f>
        <v/>
      </c>
      <c r="AA591">
        <f>IF(Z591="","",IF(MATCH(SUBSTITUTE(SUBSTITUTE(SUBSTITUTE(Z591,"~","~~"),"*","~*"),"?","~?"),$Z$5:$Z$5004,0)=587,MAX($AA$4:AA590)+1,""))</f>
        <v/>
      </c>
    </row>
    <row r="592" spans="1:27">
      <c r="A592" s="9"/>
      <c r="Z592">
        <f>TRIM(A592&amp;"")</f>
        <v/>
      </c>
      <c r="AA592">
        <f>IF(Z592="","",IF(MATCH(SUBSTITUTE(SUBSTITUTE(SUBSTITUTE(Z592,"~","~~"),"*","~*"),"?","~?"),$Z$5:$Z$5004,0)=588,MAX($AA$4:AA591)+1,""))</f>
        <v/>
      </c>
    </row>
    <row r="593" spans="1:27">
      <c r="A593" s="9"/>
      <c r="Z593">
        <f>TRIM(A593&amp;"")</f>
        <v/>
      </c>
      <c r="AA593">
        <f>IF(Z593="","",IF(MATCH(SUBSTITUTE(SUBSTITUTE(SUBSTITUTE(Z593,"~","~~"),"*","~*"),"?","~?"),$Z$5:$Z$5004,0)=589,MAX($AA$4:AA592)+1,""))</f>
        <v/>
      </c>
    </row>
    <row r="594" spans="1:27">
      <c r="A594" s="9"/>
      <c r="Z594">
        <f>TRIM(A594&amp;"")</f>
        <v/>
      </c>
      <c r="AA594">
        <f>IF(Z594="","",IF(MATCH(SUBSTITUTE(SUBSTITUTE(SUBSTITUTE(Z594,"~","~~"),"*","~*"),"?","~?"),$Z$5:$Z$5004,0)=590,MAX($AA$4:AA593)+1,""))</f>
        <v/>
      </c>
    </row>
    <row r="595" spans="1:27">
      <c r="A595" s="9"/>
      <c r="Z595">
        <f>TRIM(A595&amp;"")</f>
        <v/>
      </c>
      <c r="AA595">
        <f>IF(Z595="","",IF(MATCH(SUBSTITUTE(SUBSTITUTE(SUBSTITUTE(Z595,"~","~~"),"*","~*"),"?","~?"),$Z$5:$Z$5004,0)=591,MAX($AA$4:AA594)+1,""))</f>
        <v/>
      </c>
    </row>
    <row r="596" spans="1:27">
      <c r="A596" s="9"/>
      <c r="Z596">
        <f>TRIM(A596&amp;"")</f>
        <v/>
      </c>
      <c r="AA596">
        <f>IF(Z596="","",IF(MATCH(SUBSTITUTE(SUBSTITUTE(SUBSTITUTE(Z596,"~","~~"),"*","~*"),"?","~?"),$Z$5:$Z$5004,0)=592,MAX($AA$4:AA595)+1,""))</f>
        <v/>
      </c>
    </row>
    <row r="597" spans="1:27">
      <c r="A597" s="9"/>
      <c r="Z597">
        <f>TRIM(A597&amp;"")</f>
        <v/>
      </c>
      <c r="AA597">
        <f>IF(Z597="","",IF(MATCH(SUBSTITUTE(SUBSTITUTE(SUBSTITUTE(Z597,"~","~~"),"*","~*"),"?","~?"),$Z$5:$Z$5004,0)=593,MAX($AA$4:AA596)+1,""))</f>
        <v/>
      </c>
    </row>
    <row r="598" spans="1:27">
      <c r="A598" s="9"/>
      <c r="Z598">
        <f>TRIM(A598&amp;"")</f>
        <v/>
      </c>
      <c r="AA598">
        <f>IF(Z598="","",IF(MATCH(SUBSTITUTE(SUBSTITUTE(SUBSTITUTE(Z598,"~","~~"),"*","~*"),"?","~?"),$Z$5:$Z$5004,0)=594,MAX($AA$4:AA597)+1,""))</f>
        <v/>
      </c>
    </row>
    <row r="599" spans="1:27">
      <c r="A599" s="9"/>
      <c r="Z599">
        <f>TRIM(A599&amp;"")</f>
        <v/>
      </c>
      <c r="AA599">
        <f>IF(Z599="","",IF(MATCH(SUBSTITUTE(SUBSTITUTE(SUBSTITUTE(Z599,"~","~~"),"*","~*"),"?","~?"),$Z$5:$Z$5004,0)=595,MAX($AA$4:AA598)+1,""))</f>
        <v/>
      </c>
    </row>
    <row r="600" spans="1:27">
      <c r="A600" s="9"/>
      <c r="Z600">
        <f>TRIM(A600&amp;"")</f>
        <v/>
      </c>
      <c r="AA600">
        <f>IF(Z600="","",IF(MATCH(SUBSTITUTE(SUBSTITUTE(SUBSTITUTE(Z600,"~","~~"),"*","~*"),"?","~?"),$Z$5:$Z$5004,0)=596,MAX($AA$4:AA599)+1,""))</f>
        <v/>
      </c>
    </row>
    <row r="601" spans="1:27">
      <c r="A601" s="9"/>
      <c r="Z601">
        <f>TRIM(A601&amp;"")</f>
        <v/>
      </c>
      <c r="AA601">
        <f>IF(Z601="","",IF(MATCH(SUBSTITUTE(SUBSTITUTE(SUBSTITUTE(Z601,"~","~~"),"*","~*"),"?","~?"),$Z$5:$Z$5004,0)=597,MAX($AA$4:AA600)+1,""))</f>
        <v/>
      </c>
    </row>
    <row r="602" spans="1:27">
      <c r="A602" s="9"/>
      <c r="Z602">
        <f>TRIM(A602&amp;"")</f>
        <v/>
      </c>
      <c r="AA602">
        <f>IF(Z602="","",IF(MATCH(SUBSTITUTE(SUBSTITUTE(SUBSTITUTE(Z602,"~","~~"),"*","~*"),"?","~?"),$Z$5:$Z$5004,0)=598,MAX($AA$4:AA601)+1,""))</f>
        <v/>
      </c>
    </row>
    <row r="603" spans="1:27">
      <c r="A603" s="9"/>
      <c r="Z603">
        <f>TRIM(A603&amp;"")</f>
        <v/>
      </c>
      <c r="AA603">
        <f>IF(Z603="","",IF(MATCH(SUBSTITUTE(SUBSTITUTE(SUBSTITUTE(Z603,"~","~~"),"*","~*"),"?","~?"),$Z$5:$Z$5004,0)=599,MAX($AA$4:AA602)+1,""))</f>
        <v/>
      </c>
    </row>
    <row r="604" spans="1:27">
      <c r="A604" s="9"/>
      <c r="Z604">
        <f>TRIM(A604&amp;"")</f>
        <v/>
      </c>
      <c r="AA604">
        <f>IF(Z604="","",IF(MATCH(SUBSTITUTE(SUBSTITUTE(SUBSTITUTE(Z604,"~","~~"),"*","~*"),"?","~?"),$Z$5:$Z$5004,0)=600,MAX($AA$4:AA603)+1,""))</f>
        <v/>
      </c>
    </row>
    <row r="605" spans="1:27">
      <c r="A605" s="9"/>
      <c r="Z605">
        <f>TRIM(A605&amp;"")</f>
        <v/>
      </c>
      <c r="AA605">
        <f>IF(Z605="","",IF(MATCH(SUBSTITUTE(SUBSTITUTE(SUBSTITUTE(Z605,"~","~~"),"*","~*"),"?","~?"),$Z$5:$Z$5004,0)=601,MAX($AA$4:AA604)+1,""))</f>
        <v/>
      </c>
    </row>
    <row r="606" spans="1:27">
      <c r="A606" s="9"/>
      <c r="Z606">
        <f>TRIM(A606&amp;"")</f>
        <v/>
      </c>
      <c r="AA606">
        <f>IF(Z606="","",IF(MATCH(SUBSTITUTE(SUBSTITUTE(SUBSTITUTE(Z606,"~","~~"),"*","~*"),"?","~?"),$Z$5:$Z$5004,0)=602,MAX($AA$4:AA605)+1,""))</f>
        <v/>
      </c>
    </row>
    <row r="607" spans="1:27">
      <c r="A607" s="9"/>
      <c r="Z607">
        <f>TRIM(A607&amp;"")</f>
        <v/>
      </c>
      <c r="AA607">
        <f>IF(Z607="","",IF(MATCH(SUBSTITUTE(SUBSTITUTE(SUBSTITUTE(Z607,"~","~~"),"*","~*"),"?","~?"),$Z$5:$Z$5004,0)=603,MAX($AA$4:AA606)+1,""))</f>
        <v/>
      </c>
    </row>
    <row r="608" spans="1:27">
      <c r="A608" s="9"/>
      <c r="Z608">
        <f>TRIM(A608&amp;"")</f>
        <v/>
      </c>
      <c r="AA608">
        <f>IF(Z608="","",IF(MATCH(SUBSTITUTE(SUBSTITUTE(SUBSTITUTE(Z608,"~","~~"),"*","~*"),"?","~?"),$Z$5:$Z$5004,0)=604,MAX($AA$4:AA607)+1,""))</f>
        <v/>
      </c>
    </row>
    <row r="609" spans="1:27">
      <c r="A609" s="9"/>
      <c r="Z609">
        <f>TRIM(A609&amp;"")</f>
        <v/>
      </c>
      <c r="AA609">
        <f>IF(Z609="","",IF(MATCH(SUBSTITUTE(SUBSTITUTE(SUBSTITUTE(Z609,"~","~~"),"*","~*"),"?","~?"),$Z$5:$Z$5004,0)=605,MAX($AA$4:AA608)+1,""))</f>
        <v/>
      </c>
    </row>
    <row r="610" spans="1:27">
      <c r="A610" s="9"/>
      <c r="Z610">
        <f>TRIM(A610&amp;"")</f>
        <v/>
      </c>
      <c r="AA610">
        <f>IF(Z610="","",IF(MATCH(SUBSTITUTE(SUBSTITUTE(SUBSTITUTE(Z610,"~","~~"),"*","~*"),"?","~?"),$Z$5:$Z$5004,0)=606,MAX($AA$4:AA609)+1,""))</f>
        <v/>
      </c>
    </row>
    <row r="611" spans="1:27">
      <c r="A611" s="9"/>
      <c r="Z611">
        <f>TRIM(A611&amp;"")</f>
        <v/>
      </c>
      <c r="AA611">
        <f>IF(Z611="","",IF(MATCH(SUBSTITUTE(SUBSTITUTE(SUBSTITUTE(Z611,"~","~~"),"*","~*"),"?","~?"),$Z$5:$Z$5004,0)=607,MAX($AA$4:AA610)+1,""))</f>
        <v/>
      </c>
    </row>
    <row r="612" spans="1:27">
      <c r="A612" s="9"/>
      <c r="Z612">
        <f>TRIM(A612&amp;"")</f>
        <v/>
      </c>
      <c r="AA612">
        <f>IF(Z612="","",IF(MATCH(SUBSTITUTE(SUBSTITUTE(SUBSTITUTE(Z612,"~","~~"),"*","~*"),"?","~?"),$Z$5:$Z$5004,0)=608,MAX($AA$4:AA611)+1,""))</f>
        <v/>
      </c>
    </row>
    <row r="613" spans="1:27">
      <c r="A613" s="9"/>
      <c r="Z613">
        <f>TRIM(A613&amp;"")</f>
        <v/>
      </c>
      <c r="AA613">
        <f>IF(Z613="","",IF(MATCH(SUBSTITUTE(SUBSTITUTE(SUBSTITUTE(Z613,"~","~~"),"*","~*"),"?","~?"),$Z$5:$Z$5004,0)=609,MAX($AA$4:AA612)+1,""))</f>
        <v/>
      </c>
    </row>
    <row r="614" spans="1:27">
      <c r="A614" s="9"/>
      <c r="Z614">
        <f>TRIM(A614&amp;"")</f>
        <v/>
      </c>
      <c r="AA614">
        <f>IF(Z614="","",IF(MATCH(SUBSTITUTE(SUBSTITUTE(SUBSTITUTE(Z614,"~","~~"),"*","~*"),"?","~?"),$Z$5:$Z$5004,0)=610,MAX($AA$4:AA613)+1,""))</f>
        <v/>
      </c>
    </row>
    <row r="615" spans="1:27">
      <c r="A615" s="9"/>
      <c r="Z615">
        <f>TRIM(A615&amp;"")</f>
        <v/>
      </c>
      <c r="AA615">
        <f>IF(Z615="","",IF(MATCH(SUBSTITUTE(SUBSTITUTE(SUBSTITUTE(Z615,"~","~~"),"*","~*"),"?","~?"),$Z$5:$Z$5004,0)=611,MAX($AA$4:AA614)+1,""))</f>
        <v/>
      </c>
    </row>
    <row r="616" spans="1:27">
      <c r="A616" s="9"/>
      <c r="Z616">
        <f>TRIM(A616&amp;"")</f>
        <v/>
      </c>
      <c r="AA616">
        <f>IF(Z616="","",IF(MATCH(SUBSTITUTE(SUBSTITUTE(SUBSTITUTE(Z616,"~","~~"),"*","~*"),"?","~?"),$Z$5:$Z$5004,0)=612,MAX($AA$4:AA615)+1,""))</f>
        <v/>
      </c>
    </row>
    <row r="617" spans="1:27">
      <c r="A617" s="9"/>
      <c r="Z617">
        <f>TRIM(A617&amp;"")</f>
        <v/>
      </c>
      <c r="AA617">
        <f>IF(Z617="","",IF(MATCH(SUBSTITUTE(SUBSTITUTE(SUBSTITUTE(Z617,"~","~~"),"*","~*"),"?","~?"),$Z$5:$Z$5004,0)=613,MAX($AA$4:AA616)+1,""))</f>
        <v/>
      </c>
    </row>
    <row r="618" spans="1:27">
      <c r="A618" s="9"/>
      <c r="Z618">
        <f>TRIM(A618&amp;"")</f>
        <v/>
      </c>
      <c r="AA618">
        <f>IF(Z618="","",IF(MATCH(SUBSTITUTE(SUBSTITUTE(SUBSTITUTE(Z618,"~","~~"),"*","~*"),"?","~?"),$Z$5:$Z$5004,0)=614,MAX($AA$4:AA617)+1,""))</f>
        <v/>
      </c>
    </row>
    <row r="619" spans="1:27">
      <c r="A619" s="9"/>
      <c r="Z619">
        <f>TRIM(A619&amp;"")</f>
        <v/>
      </c>
      <c r="AA619">
        <f>IF(Z619="","",IF(MATCH(SUBSTITUTE(SUBSTITUTE(SUBSTITUTE(Z619,"~","~~"),"*","~*"),"?","~?"),$Z$5:$Z$5004,0)=615,MAX($AA$4:AA618)+1,""))</f>
        <v/>
      </c>
    </row>
    <row r="620" spans="1:27">
      <c r="A620" s="9"/>
      <c r="Z620">
        <f>TRIM(A620&amp;"")</f>
        <v/>
      </c>
      <c r="AA620">
        <f>IF(Z620="","",IF(MATCH(SUBSTITUTE(SUBSTITUTE(SUBSTITUTE(Z620,"~","~~"),"*","~*"),"?","~?"),$Z$5:$Z$5004,0)=616,MAX($AA$4:AA619)+1,""))</f>
        <v/>
      </c>
    </row>
    <row r="621" spans="1:27">
      <c r="A621" s="9"/>
      <c r="Z621">
        <f>TRIM(A621&amp;"")</f>
        <v/>
      </c>
      <c r="AA621">
        <f>IF(Z621="","",IF(MATCH(SUBSTITUTE(SUBSTITUTE(SUBSTITUTE(Z621,"~","~~"),"*","~*"),"?","~?"),$Z$5:$Z$5004,0)=617,MAX($AA$4:AA620)+1,""))</f>
        <v/>
      </c>
    </row>
    <row r="622" spans="1:27">
      <c r="A622" s="9"/>
      <c r="Z622">
        <f>TRIM(A622&amp;"")</f>
        <v/>
      </c>
      <c r="AA622">
        <f>IF(Z622="","",IF(MATCH(SUBSTITUTE(SUBSTITUTE(SUBSTITUTE(Z622,"~","~~"),"*","~*"),"?","~?"),$Z$5:$Z$5004,0)=618,MAX($AA$4:AA621)+1,""))</f>
        <v/>
      </c>
    </row>
    <row r="623" spans="1:27">
      <c r="A623" s="9"/>
      <c r="Z623">
        <f>TRIM(A623&amp;"")</f>
        <v/>
      </c>
      <c r="AA623">
        <f>IF(Z623="","",IF(MATCH(SUBSTITUTE(SUBSTITUTE(SUBSTITUTE(Z623,"~","~~"),"*","~*"),"?","~?"),$Z$5:$Z$5004,0)=619,MAX($AA$4:AA622)+1,""))</f>
        <v/>
      </c>
    </row>
    <row r="624" spans="1:27">
      <c r="A624" s="9"/>
      <c r="Z624">
        <f>TRIM(A624&amp;"")</f>
        <v/>
      </c>
      <c r="AA624">
        <f>IF(Z624="","",IF(MATCH(SUBSTITUTE(SUBSTITUTE(SUBSTITUTE(Z624,"~","~~"),"*","~*"),"?","~?"),$Z$5:$Z$5004,0)=620,MAX($AA$4:AA623)+1,""))</f>
        <v/>
      </c>
    </row>
    <row r="625" spans="1:27">
      <c r="A625" s="9"/>
      <c r="Z625">
        <f>TRIM(A625&amp;"")</f>
        <v/>
      </c>
      <c r="AA625">
        <f>IF(Z625="","",IF(MATCH(SUBSTITUTE(SUBSTITUTE(SUBSTITUTE(Z625,"~","~~"),"*","~*"),"?","~?"),$Z$5:$Z$5004,0)=621,MAX($AA$4:AA624)+1,""))</f>
        <v/>
      </c>
    </row>
    <row r="626" spans="1:27">
      <c r="A626" s="9"/>
      <c r="Z626">
        <f>TRIM(A626&amp;"")</f>
        <v/>
      </c>
      <c r="AA626">
        <f>IF(Z626="","",IF(MATCH(SUBSTITUTE(SUBSTITUTE(SUBSTITUTE(Z626,"~","~~"),"*","~*"),"?","~?"),$Z$5:$Z$5004,0)=622,MAX($AA$4:AA625)+1,""))</f>
        <v/>
      </c>
    </row>
    <row r="627" spans="1:27">
      <c r="A627" s="9"/>
      <c r="Z627">
        <f>TRIM(A627&amp;"")</f>
        <v/>
      </c>
      <c r="AA627">
        <f>IF(Z627="","",IF(MATCH(SUBSTITUTE(SUBSTITUTE(SUBSTITUTE(Z627,"~","~~"),"*","~*"),"?","~?"),$Z$5:$Z$5004,0)=623,MAX($AA$4:AA626)+1,""))</f>
        <v/>
      </c>
    </row>
    <row r="628" spans="1:27">
      <c r="A628" s="9"/>
      <c r="Z628">
        <f>TRIM(A628&amp;"")</f>
        <v/>
      </c>
      <c r="AA628">
        <f>IF(Z628="","",IF(MATCH(SUBSTITUTE(SUBSTITUTE(SUBSTITUTE(Z628,"~","~~"),"*","~*"),"?","~?"),$Z$5:$Z$5004,0)=624,MAX($AA$4:AA627)+1,""))</f>
        <v/>
      </c>
    </row>
    <row r="629" spans="1:27">
      <c r="A629" s="9"/>
      <c r="Z629">
        <f>TRIM(A629&amp;"")</f>
        <v/>
      </c>
      <c r="AA629">
        <f>IF(Z629="","",IF(MATCH(SUBSTITUTE(SUBSTITUTE(SUBSTITUTE(Z629,"~","~~"),"*","~*"),"?","~?"),$Z$5:$Z$5004,0)=625,MAX($AA$4:AA628)+1,""))</f>
        <v/>
      </c>
    </row>
    <row r="630" spans="1:27">
      <c r="A630" s="9"/>
      <c r="Z630">
        <f>TRIM(A630&amp;"")</f>
        <v/>
      </c>
      <c r="AA630">
        <f>IF(Z630="","",IF(MATCH(SUBSTITUTE(SUBSTITUTE(SUBSTITUTE(Z630,"~","~~"),"*","~*"),"?","~?"),$Z$5:$Z$5004,0)=626,MAX($AA$4:AA629)+1,""))</f>
        <v/>
      </c>
    </row>
    <row r="631" spans="1:27">
      <c r="A631" s="9"/>
      <c r="Z631">
        <f>TRIM(A631&amp;"")</f>
        <v/>
      </c>
      <c r="AA631">
        <f>IF(Z631="","",IF(MATCH(SUBSTITUTE(SUBSTITUTE(SUBSTITUTE(Z631,"~","~~"),"*","~*"),"?","~?"),$Z$5:$Z$5004,0)=627,MAX($AA$4:AA630)+1,""))</f>
        <v/>
      </c>
    </row>
    <row r="632" spans="1:27">
      <c r="A632" s="9"/>
      <c r="Z632">
        <f>TRIM(A632&amp;"")</f>
        <v/>
      </c>
      <c r="AA632">
        <f>IF(Z632="","",IF(MATCH(SUBSTITUTE(SUBSTITUTE(SUBSTITUTE(Z632,"~","~~"),"*","~*"),"?","~?"),$Z$5:$Z$5004,0)=628,MAX($AA$4:AA631)+1,""))</f>
        <v/>
      </c>
    </row>
    <row r="633" spans="1:27">
      <c r="A633" s="9"/>
      <c r="Z633">
        <f>TRIM(A633&amp;"")</f>
        <v/>
      </c>
      <c r="AA633">
        <f>IF(Z633="","",IF(MATCH(SUBSTITUTE(SUBSTITUTE(SUBSTITUTE(Z633,"~","~~"),"*","~*"),"?","~?"),$Z$5:$Z$5004,0)=629,MAX($AA$4:AA632)+1,""))</f>
        <v/>
      </c>
    </row>
    <row r="634" spans="1:27">
      <c r="A634" s="9"/>
      <c r="Z634">
        <f>TRIM(A634&amp;"")</f>
        <v/>
      </c>
      <c r="AA634">
        <f>IF(Z634="","",IF(MATCH(SUBSTITUTE(SUBSTITUTE(SUBSTITUTE(Z634,"~","~~"),"*","~*"),"?","~?"),$Z$5:$Z$5004,0)=630,MAX($AA$4:AA633)+1,""))</f>
        <v/>
      </c>
    </row>
    <row r="635" spans="1:27">
      <c r="A635" s="9"/>
      <c r="Z635">
        <f>TRIM(A635&amp;"")</f>
        <v/>
      </c>
      <c r="AA635">
        <f>IF(Z635="","",IF(MATCH(SUBSTITUTE(SUBSTITUTE(SUBSTITUTE(Z635,"~","~~"),"*","~*"),"?","~?"),$Z$5:$Z$5004,0)=631,MAX($AA$4:AA634)+1,""))</f>
        <v/>
      </c>
    </row>
    <row r="636" spans="1:27">
      <c r="A636" s="9"/>
      <c r="Z636">
        <f>TRIM(A636&amp;"")</f>
        <v/>
      </c>
      <c r="AA636">
        <f>IF(Z636="","",IF(MATCH(SUBSTITUTE(SUBSTITUTE(SUBSTITUTE(Z636,"~","~~"),"*","~*"),"?","~?"),$Z$5:$Z$5004,0)=632,MAX($AA$4:AA635)+1,""))</f>
        <v/>
      </c>
    </row>
    <row r="637" spans="1:27">
      <c r="A637" s="9"/>
      <c r="Z637">
        <f>TRIM(A637&amp;"")</f>
        <v/>
      </c>
      <c r="AA637">
        <f>IF(Z637="","",IF(MATCH(SUBSTITUTE(SUBSTITUTE(SUBSTITUTE(Z637,"~","~~"),"*","~*"),"?","~?"),$Z$5:$Z$5004,0)=633,MAX($AA$4:AA636)+1,""))</f>
        <v/>
      </c>
    </row>
    <row r="638" spans="1:27">
      <c r="A638" s="9"/>
      <c r="Z638">
        <f>TRIM(A638&amp;"")</f>
        <v/>
      </c>
      <c r="AA638">
        <f>IF(Z638="","",IF(MATCH(SUBSTITUTE(SUBSTITUTE(SUBSTITUTE(Z638,"~","~~"),"*","~*"),"?","~?"),$Z$5:$Z$5004,0)=634,MAX($AA$4:AA637)+1,""))</f>
        <v/>
      </c>
    </row>
    <row r="639" spans="1:27">
      <c r="A639" s="9"/>
      <c r="Z639">
        <f>TRIM(A639&amp;"")</f>
        <v/>
      </c>
      <c r="AA639">
        <f>IF(Z639="","",IF(MATCH(SUBSTITUTE(SUBSTITUTE(SUBSTITUTE(Z639,"~","~~"),"*","~*"),"?","~?"),$Z$5:$Z$5004,0)=635,MAX($AA$4:AA638)+1,""))</f>
        <v/>
      </c>
    </row>
    <row r="640" spans="1:27">
      <c r="A640" s="9"/>
      <c r="Z640">
        <f>TRIM(A640&amp;"")</f>
        <v/>
      </c>
      <c r="AA640">
        <f>IF(Z640="","",IF(MATCH(SUBSTITUTE(SUBSTITUTE(SUBSTITUTE(Z640,"~","~~"),"*","~*"),"?","~?"),$Z$5:$Z$5004,0)=636,MAX($AA$4:AA639)+1,""))</f>
        <v/>
      </c>
    </row>
    <row r="641" spans="1:27">
      <c r="A641" s="9"/>
      <c r="Z641">
        <f>TRIM(A641&amp;"")</f>
        <v/>
      </c>
      <c r="AA641">
        <f>IF(Z641="","",IF(MATCH(SUBSTITUTE(SUBSTITUTE(SUBSTITUTE(Z641,"~","~~"),"*","~*"),"?","~?"),$Z$5:$Z$5004,0)=637,MAX($AA$4:AA640)+1,""))</f>
        <v/>
      </c>
    </row>
    <row r="642" spans="1:27">
      <c r="A642" s="9"/>
      <c r="Z642">
        <f>TRIM(A642&amp;"")</f>
        <v/>
      </c>
      <c r="AA642">
        <f>IF(Z642="","",IF(MATCH(SUBSTITUTE(SUBSTITUTE(SUBSTITUTE(Z642,"~","~~"),"*","~*"),"?","~?"),$Z$5:$Z$5004,0)=638,MAX($AA$4:AA641)+1,""))</f>
        <v/>
      </c>
    </row>
    <row r="643" spans="1:27">
      <c r="A643" s="9"/>
      <c r="Z643">
        <f>TRIM(A643&amp;"")</f>
        <v/>
      </c>
      <c r="AA643">
        <f>IF(Z643="","",IF(MATCH(SUBSTITUTE(SUBSTITUTE(SUBSTITUTE(Z643,"~","~~"),"*","~*"),"?","~?"),$Z$5:$Z$5004,0)=639,MAX($AA$4:AA642)+1,""))</f>
        <v/>
      </c>
    </row>
    <row r="644" spans="1:27">
      <c r="A644" s="9"/>
      <c r="Z644">
        <f>TRIM(A644&amp;"")</f>
        <v/>
      </c>
      <c r="AA644">
        <f>IF(Z644="","",IF(MATCH(SUBSTITUTE(SUBSTITUTE(SUBSTITUTE(Z644,"~","~~"),"*","~*"),"?","~?"),$Z$5:$Z$5004,0)=640,MAX($AA$4:AA643)+1,""))</f>
        <v/>
      </c>
    </row>
    <row r="645" spans="1:27">
      <c r="A645" s="9"/>
      <c r="Z645">
        <f>TRIM(A645&amp;"")</f>
        <v/>
      </c>
      <c r="AA645">
        <f>IF(Z645="","",IF(MATCH(SUBSTITUTE(SUBSTITUTE(SUBSTITUTE(Z645,"~","~~"),"*","~*"),"?","~?"),$Z$5:$Z$5004,0)=641,MAX($AA$4:AA644)+1,""))</f>
        <v/>
      </c>
    </row>
    <row r="646" spans="1:27">
      <c r="A646" s="9"/>
      <c r="Z646">
        <f>TRIM(A646&amp;"")</f>
        <v/>
      </c>
      <c r="AA646">
        <f>IF(Z646="","",IF(MATCH(SUBSTITUTE(SUBSTITUTE(SUBSTITUTE(Z646,"~","~~"),"*","~*"),"?","~?"),$Z$5:$Z$5004,0)=642,MAX($AA$4:AA645)+1,""))</f>
        <v/>
      </c>
    </row>
    <row r="647" spans="1:27">
      <c r="A647" s="9"/>
      <c r="Z647">
        <f>TRIM(A647&amp;"")</f>
        <v/>
      </c>
      <c r="AA647">
        <f>IF(Z647="","",IF(MATCH(SUBSTITUTE(SUBSTITUTE(SUBSTITUTE(Z647,"~","~~"),"*","~*"),"?","~?"),$Z$5:$Z$5004,0)=643,MAX($AA$4:AA646)+1,""))</f>
        <v/>
      </c>
    </row>
    <row r="648" spans="1:27">
      <c r="A648" s="9"/>
      <c r="Z648">
        <f>TRIM(A648&amp;"")</f>
        <v/>
      </c>
      <c r="AA648">
        <f>IF(Z648="","",IF(MATCH(SUBSTITUTE(SUBSTITUTE(SUBSTITUTE(Z648,"~","~~"),"*","~*"),"?","~?"),$Z$5:$Z$5004,0)=644,MAX($AA$4:AA647)+1,""))</f>
        <v/>
      </c>
    </row>
    <row r="649" spans="1:27">
      <c r="A649" s="9"/>
      <c r="Z649">
        <f>TRIM(A649&amp;"")</f>
        <v/>
      </c>
      <c r="AA649">
        <f>IF(Z649="","",IF(MATCH(SUBSTITUTE(SUBSTITUTE(SUBSTITUTE(Z649,"~","~~"),"*","~*"),"?","~?"),$Z$5:$Z$5004,0)=645,MAX($AA$4:AA648)+1,""))</f>
        <v/>
      </c>
    </row>
    <row r="650" spans="1:27">
      <c r="A650" s="9"/>
      <c r="Z650">
        <f>TRIM(A650&amp;"")</f>
        <v/>
      </c>
      <c r="AA650">
        <f>IF(Z650="","",IF(MATCH(SUBSTITUTE(SUBSTITUTE(SUBSTITUTE(Z650,"~","~~"),"*","~*"),"?","~?"),$Z$5:$Z$5004,0)=646,MAX($AA$4:AA649)+1,""))</f>
        <v/>
      </c>
    </row>
    <row r="651" spans="1:27">
      <c r="A651" s="9"/>
      <c r="Z651">
        <f>TRIM(A651&amp;"")</f>
        <v/>
      </c>
      <c r="AA651">
        <f>IF(Z651="","",IF(MATCH(SUBSTITUTE(SUBSTITUTE(SUBSTITUTE(Z651,"~","~~"),"*","~*"),"?","~?"),$Z$5:$Z$5004,0)=647,MAX($AA$4:AA650)+1,""))</f>
        <v/>
      </c>
    </row>
    <row r="652" spans="1:27">
      <c r="A652" s="9"/>
      <c r="Z652">
        <f>TRIM(A652&amp;"")</f>
        <v/>
      </c>
      <c r="AA652">
        <f>IF(Z652="","",IF(MATCH(SUBSTITUTE(SUBSTITUTE(SUBSTITUTE(Z652,"~","~~"),"*","~*"),"?","~?"),$Z$5:$Z$5004,0)=648,MAX($AA$4:AA651)+1,""))</f>
        <v/>
      </c>
    </row>
    <row r="653" spans="1:27">
      <c r="A653" s="9"/>
      <c r="Z653">
        <f>TRIM(A653&amp;"")</f>
        <v/>
      </c>
      <c r="AA653">
        <f>IF(Z653="","",IF(MATCH(SUBSTITUTE(SUBSTITUTE(SUBSTITUTE(Z653,"~","~~"),"*","~*"),"?","~?"),$Z$5:$Z$5004,0)=649,MAX($AA$4:AA652)+1,""))</f>
        <v/>
      </c>
    </row>
    <row r="654" spans="1:27">
      <c r="A654" s="9"/>
      <c r="Z654">
        <f>TRIM(A654&amp;"")</f>
        <v/>
      </c>
      <c r="AA654">
        <f>IF(Z654="","",IF(MATCH(SUBSTITUTE(SUBSTITUTE(SUBSTITUTE(Z654,"~","~~"),"*","~*"),"?","~?"),$Z$5:$Z$5004,0)=650,MAX($AA$4:AA653)+1,""))</f>
        <v/>
      </c>
    </row>
    <row r="655" spans="1:27">
      <c r="A655" s="9"/>
      <c r="Z655">
        <f>TRIM(A655&amp;"")</f>
        <v/>
      </c>
      <c r="AA655">
        <f>IF(Z655="","",IF(MATCH(SUBSTITUTE(SUBSTITUTE(SUBSTITUTE(Z655,"~","~~"),"*","~*"),"?","~?"),$Z$5:$Z$5004,0)=651,MAX($AA$4:AA654)+1,""))</f>
        <v/>
      </c>
    </row>
    <row r="656" spans="1:27">
      <c r="A656" s="9"/>
      <c r="Z656">
        <f>TRIM(A656&amp;"")</f>
        <v/>
      </c>
      <c r="AA656">
        <f>IF(Z656="","",IF(MATCH(SUBSTITUTE(SUBSTITUTE(SUBSTITUTE(Z656,"~","~~"),"*","~*"),"?","~?"),$Z$5:$Z$5004,0)=652,MAX($AA$4:AA655)+1,""))</f>
        <v/>
      </c>
    </row>
    <row r="657" spans="1:27">
      <c r="A657" s="9"/>
      <c r="Z657">
        <f>TRIM(A657&amp;"")</f>
        <v/>
      </c>
      <c r="AA657">
        <f>IF(Z657="","",IF(MATCH(SUBSTITUTE(SUBSTITUTE(SUBSTITUTE(Z657,"~","~~"),"*","~*"),"?","~?"),$Z$5:$Z$5004,0)=653,MAX($AA$4:AA656)+1,""))</f>
        <v/>
      </c>
    </row>
    <row r="658" spans="1:27">
      <c r="A658" s="9"/>
      <c r="Z658">
        <f>TRIM(A658&amp;"")</f>
        <v/>
      </c>
      <c r="AA658">
        <f>IF(Z658="","",IF(MATCH(SUBSTITUTE(SUBSTITUTE(SUBSTITUTE(Z658,"~","~~"),"*","~*"),"?","~?"),$Z$5:$Z$5004,0)=654,MAX($AA$4:AA657)+1,""))</f>
        <v/>
      </c>
    </row>
    <row r="659" spans="1:27">
      <c r="A659" s="9"/>
      <c r="Z659">
        <f>TRIM(A659&amp;"")</f>
        <v/>
      </c>
      <c r="AA659">
        <f>IF(Z659="","",IF(MATCH(SUBSTITUTE(SUBSTITUTE(SUBSTITUTE(Z659,"~","~~"),"*","~*"),"?","~?"),$Z$5:$Z$5004,0)=655,MAX($AA$4:AA658)+1,""))</f>
        <v/>
      </c>
    </row>
    <row r="660" spans="1:27">
      <c r="A660" s="9"/>
      <c r="Z660">
        <f>TRIM(A660&amp;"")</f>
        <v/>
      </c>
      <c r="AA660">
        <f>IF(Z660="","",IF(MATCH(SUBSTITUTE(SUBSTITUTE(SUBSTITUTE(Z660,"~","~~"),"*","~*"),"?","~?"),$Z$5:$Z$5004,0)=656,MAX($AA$4:AA659)+1,""))</f>
        <v/>
      </c>
    </row>
    <row r="661" spans="1:27">
      <c r="A661" s="9"/>
      <c r="Z661">
        <f>TRIM(A661&amp;"")</f>
        <v/>
      </c>
      <c r="AA661">
        <f>IF(Z661="","",IF(MATCH(SUBSTITUTE(SUBSTITUTE(SUBSTITUTE(Z661,"~","~~"),"*","~*"),"?","~?"),$Z$5:$Z$5004,0)=657,MAX($AA$4:AA660)+1,""))</f>
        <v/>
      </c>
    </row>
    <row r="662" spans="1:27">
      <c r="A662" s="9"/>
      <c r="Z662">
        <f>TRIM(A662&amp;"")</f>
        <v/>
      </c>
      <c r="AA662">
        <f>IF(Z662="","",IF(MATCH(SUBSTITUTE(SUBSTITUTE(SUBSTITUTE(Z662,"~","~~"),"*","~*"),"?","~?"),$Z$5:$Z$5004,0)=658,MAX($AA$4:AA661)+1,""))</f>
        <v/>
      </c>
    </row>
    <row r="663" spans="1:27">
      <c r="A663" s="9"/>
      <c r="Z663">
        <f>TRIM(A663&amp;"")</f>
        <v/>
      </c>
      <c r="AA663">
        <f>IF(Z663="","",IF(MATCH(SUBSTITUTE(SUBSTITUTE(SUBSTITUTE(Z663,"~","~~"),"*","~*"),"?","~?"),$Z$5:$Z$5004,0)=659,MAX($AA$4:AA662)+1,""))</f>
        <v/>
      </c>
    </row>
    <row r="664" spans="1:27">
      <c r="A664" s="9"/>
      <c r="Z664">
        <f>TRIM(A664&amp;"")</f>
        <v/>
      </c>
      <c r="AA664">
        <f>IF(Z664="","",IF(MATCH(SUBSTITUTE(SUBSTITUTE(SUBSTITUTE(Z664,"~","~~"),"*","~*"),"?","~?"),$Z$5:$Z$5004,0)=660,MAX($AA$4:AA663)+1,""))</f>
        <v/>
      </c>
    </row>
    <row r="665" spans="1:27">
      <c r="A665" s="9"/>
      <c r="Z665">
        <f>TRIM(A665&amp;"")</f>
        <v/>
      </c>
      <c r="AA665">
        <f>IF(Z665="","",IF(MATCH(SUBSTITUTE(SUBSTITUTE(SUBSTITUTE(Z665,"~","~~"),"*","~*"),"?","~?"),$Z$5:$Z$5004,0)=661,MAX($AA$4:AA664)+1,""))</f>
        <v/>
      </c>
    </row>
    <row r="666" spans="1:27">
      <c r="A666" s="9"/>
      <c r="Z666">
        <f>TRIM(A666&amp;"")</f>
        <v/>
      </c>
      <c r="AA666">
        <f>IF(Z666="","",IF(MATCH(SUBSTITUTE(SUBSTITUTE(SUBSTITUTE(Z666,"~","~~"),"*","~*"),"?","~?"),$Z$5:$Z$5004,0)=662,MAX($AA$4:AA665)+1,""))</f>
        <v/>
      </c>
    </row>
    <row r="667" spans="1:27">
      <c r="A667" s="9"/>
      <c r="Z667">
        <f>TRIM(A667&amp;"")</f>
        <v/>
      </c>
      <c r="AA667">
        <f>IF(Z667="","",IF(MATCH(SUBSTITUTE(SUBSTITUTE(SUBSTITUTE(Z667,"~","~~"),"*","~*"),"?","~?"),$Z$5:$Z$5004,0)=663,MAX($AA$4:AA666)+1,""))</f>
        <v/>
      </c>
    </row>
    <row r="668" spans="1:27">
      <c r="A668" s="9"/>
      <c r="Z668">
        <f>TRIM(A668&amp;"")</f>
        <v/>
      </c>
      <c r="AA668">
        <f>IF(Z668="","",IF(MATCH(SUBSTITUTE(SUBSTITUTE(SUBSTITUTE(Z668,"~","~~"),"*","~*"),"?","~?"),$Z$5:$Z$5004,0)=664,MAX($AA$4:AA667)+1,""))</f>
        <v/>
      </c>
    </row>
    <row r="669" spans="1:27">
      <c r="A669" s="9"/>
      <c r="Z669">
        <f>TRIM(A669&amp;"")</f>
        <v/>
      </c>
      <c r="AA669">
        <f>IF(Z669="","",IF(MATCH(SUBSTITUTE(SUBSTITUTE(SUBSTITUTE(Z669,"~","~~"),"*","~*"),"?","~?"),$Z$5:$Z$5004,0)=665,MAX($AA$4:AA668)+1,""))</f>
        <v/>
      </c>
    </row>
    <row r="670" spans="1:27">
      <c r="A670" s="9"/>
      <c r="Z670">
        <f>TRIM(A670&amp;"")</f>
        <v/>
      </c>
      <c r="AA670">
        <f>IF(Z670="","",IF(MATCH(SUBSTITUTE(SUBSTITUTE(SUBSTITUTE(Z670,"~","~~"),"*","~*"),"?","~?"),$Z$5:$Z$5004,0)=666,MAX($AA$4:AA669)+1,""))</f>
        <v/>
      </c>
    </row>
    <row r="671" spans="1:27">
      <c r="A671" s="9"/>
      <c r="Z671">
        <f>TRIM(A671&amp;"")</f>
        <v/>
      </c>
      <c r="AA671">
        <f>IF(Z671="","",IF(MATCH(SUBSTITUTE(SUBSTITUTE(SUBSTITUTE(Z671,"~","~~"),"*","~*"),"?","~?"),$Z$5:$Z$5004,0)=667,MAX($AA$4:AA670)+1,""))</f>
        <v/>
      </c>
    </row>
    <row r="672" spans="1:27">
      <c r="A672" s="9"/>
      <c r="Z672">
        <f>TRIM(A672&amp;"")</f>
        <v/>
      </c>
      <c r="AA672">
        <f>IF(Z672="","",IF(MATCH(SUBSTITUTE(SUBSTITUTE(SUBSTITUTE(Z672,"~","~~"),"*","~*"),"?","~?"),$Z$5:$Z$5004,0)=668,MAX($AA$4:AA671)+1,""))</f>
        <v/>
      </c>
    </row>
    <row r="673" spans="1:27">
      <c r="A673" s="9"/>
      <c r="Z673">
        <f>TRIM(A673&amp;"")</f>
        <v/>
      </c>
      <c r="AA673">
        <f>IF(Z673="","",IF(MATCH(SUBSTITUTE(SUBSTITUTE(SUBSTITUTE(Z673,"~","~~"),"*","~*"),"?","~?"),$Z$5:$Z$5004,0)=669,MAX($AA$4:AA672)+1,""))</f>
        <v/>
      </c>
    </row>
    <row r="674" spans="1:27">
      <c r="A674" s="9"/>
      <c r="Z674">
        <f>TRIM(A674&amp;"")</f>
        <v/>
      </c>
      <c r="AA674">
        <f>IF(Z674="","",IF(MATCH(SUBSTITUTE(SUBSTITUTE(SUBSTITUTE(Z674,"~","~~"),"*","~*"),"?","~?"),$Z$5:$Z$5004,0)=670,MAX($AA$4:AA673)+1,""))</f>
        <v/>
      </c>
    </row>
    <row r="675" spans="1:27">
      <c r="A675" s="9"/>
      <c r="Z675">
        <f>TRIM(A675&amp;"")</f>
        <v/>
      </c>
      <c r="AA675">
        <f>IF(Z675="","",IF(MATCH(SUBSTITUTE(SUBSTITUTE(SUBSTITUTE(Z675,"~","~~"),"*","~*"),"?","~?"),$Z$5:$Z$5004,0)=671,MAX($AA$4:AA674)+1,""))</f>
        <v/>
      </c>
    </row>
    <row r="676" spans="1:27">
      <c r="A676" s="9"/>
      <c r="Z676">
        <f>TRIM(A676&amp;"")</f>
        <v/>
      </c>
      <c r="AA676">
        <f>IF(Z676="","",IF(MATCH(SUBSTITUTE(SUBSTITUTE(SUBSTITUTE(Z676,"~","~~"),"*","~*"),"?","~?"),$Z$5:$Z$5004,0)=672,MAX($AA$4:AA675)+1,""))</f>
        <v/>
      </c>
    </row>
    <row r="677" spans="1:27">
      <c r="A677" s="9"/>
      <c r="Z677">
        <f>TRIM(A677&amp;"")</f>
        <v/>
      </c>
      <c r="AA677">
        <f>IF(Z677="","",IF(MATCH(SUBSTITUTE(SUBSTITUTE(SUBSTITUTE(Z677,"~","~~"),"*","~*"),"?","~?"),$Z$5:$Z$5004,0)=673,MAX($AA$4:AA676)+1,""))</f>
        <v/>
      </c>
    </row>
    <row r="678" spans="1:27">
      <c r="A678" s="9"/>
      <c r="Z678">
        <f>TRIM(A678&amp;"")</f>
        <v/>
      </c>
      <c r="AA678">
        <f>IF(Z678="","",IF(MATCH(SUBSTITUTE(SUBSTITUTE(SUBSTITUTE(Z678,"~","~~"),"*","~*"),"?","~?"),$Z$5:$Z$5004,0)=674,MAX($AA$4:AA677)+1,""))</f>
        <v/>
      </c>
    </row>
    <row r="679" spans="1:27">
      <c r="A679" s="9"/>
      <c r="Z679">
        <f>TRIM(A679&amp;"")</f>
        <v/>
      </c>
      <c r="AA679">
        <f>IF(Z679="","",IF(MATCH(SUBSTITUTE(SUBSTITUTE(SUBSTITUTE(Z679,"~","~~"),"*","~*"),"?","~?"),$Z$5:$Z$5004,0)=675,MAX($AA$4:AA678)+1,""))</f>
        <v/>
      </c>
    </row>
    <row r="680" spans="1:27">
      <c r="A680" s="9"/>
      <c r="Z680">
        <f>TRIM(A680&amp;"")</f>
        <v/>
      </c>
      <c r="AA680">
        <f>IF(Z680="","",IF(MATCH(SUBSTITUTE(SUBSTITUTE(SUBSTITUTE(Z680,"~","~~"),"*","~*"),"?","~?"),$Z$5:$Z$5004,0)=676,MAX($AA$4:AA679)+1,""))</f>
        <v/>
      </c>
    </row>
    <row r="681" spans="1:27">
      <c r="A681" s="9"/>
      <c r="Z681">
        <f>TRIM(A681&amp;"")</f>
        <v/>
      </c>
      <c r="AA681">
        <f>IF(Z681="","",IF(MATCH(SUBSTITUTE(SUBSTITUTE(SUBSTITUTE(Z681,"~","~~"),"*","~*"),"?","~?"),$Z$5:$Z$5004,0)=677,MAX($AA$4:AA680)+1,""))</f>
        <v/>
      </c>
    </row>
    <row r="682" spans="1:27">
      <c r="A682" s="9"/>
      <c r="Z682">
        <f>TRIM(A682&amp;"")</f>
        <v/>
      </c>
      <c r="AA682">
        <f>IF(Z682="","",IF(MATCH(SUBSTITUTE(SUBSTITUTE(SUBSTITUTE(Z682,"~","~~"),"*","~*"),"?","~?"),$Z$5:$Z$5004,0)=678,MAX($AA$4:AA681)+1,""))</f>
        <v/>
      </c>
    </row>
    <row r="683" spans="1:27">
      <c r="A683" s="9"/>
      <c r="Z683">
        <f>TRIM(A683&amp;"")</f>
        <v/>
      </c>
      <c r="AA683">
        <f>IF(Z683="","",IF(MATCH(SUBSTITUTE(SUBSTITUTE(SUBSTITUTE(Z683,"~","~~"),"*","~*"),"?","~?"),$Z$5:$Z$5004,0)=679,MAX($AA$4:AA682)+1,""))</f>
        <v/>
      </c>
    </row>
    <row r="684" spans="1:27">
      <c r="A684" s="9"/>
      <c r="Z684">
        <f>TRIM(A684&amp;"")</f>
        <v/>
      </c>
      <c r="AA684">
        <f>IF(Z684="","",IF(MATCH(SUBSTITUTE(SUBSTITUTE(SUBSTITUTE(Z684,"~","~~"),"*","~*"),"?","~?"),$Z$5:$Z$5004,0)=680,MAX($AA$4:AA683)+1,""))</f>
        <v/>
      </c>
    </row>
    <row r="685" spans="1:27">
      <c r="A685" s="9"/>
      <c r="Z685">
        <f>TRIM(A685&amp;"")</f>
        <v/>
      </c>
      <c r="AA685">
        <f>IF(Z685="","",IF(MATCH(SUBSTITUTE(SUBSTITUTE(SUBSTITUTE(Z685,"~","~~"),"*","~*"),"?","~?"),$Z$5:$Z$5004,0)=681,MAX($AA$4:AA684)+1,""))</f>
        <v/>
      </c>
    </row>
    <row r="686" spans="1:27">
      <c r="A686" s="9"/>
      <c r="Z686">
        <f>TRIM(A686&amp;"")</f>
        <v/>
      </c>
      <c r="AA686">
        <f>IF(Z686="","",IF(MATCH(SUBSTITUTE(SUBSTITUTE(SUBSTITUTE(Z686,"~","~~"),"*","~*"),"?","~?"),$Z$5:$Z$5004,0)=682,MAX($AA$4:AA685)+1,""))</f>
        <v/>
      </c>
    </row>
    <row r="687" spans="1:27">
      <c r="A687" s="9"/>
      <c r="Z687">
        <f>TRIM(A687&amp;"")</f>
        <v/>
      </c>
      <c r="AA687">
        <f>IF(Z687="","",IF(MATCH(SUBSTITUTE(SUBSTITUTE(SUBSTITUTE(Z687,"~","~~"),"*","~*"),"?","~?"),$Z$5:$Z$5004,0)=683,MAX($AA$4:AA686)+1,""))</f>
        <v/>
      </c>
    </row>
    <row r="688" spans="1:27">
      <c r="A688" s="9"/>
      <c r="Z688">
        <f>TRIM(A688&amp;"")</f>
        <v/>
      </c>
      <c r="AA688">
        <f>IF(Z688="","",IF(MATCH(SUBSTITUTE(SUBSTITUTE(SUBSTITUTE(Z688,"~","~~"),"*","~*"),"?","~?"),$Z$5:$Z$5004,0)=684,MAX($AA$4:AA687)+1,""))</f>
        <v/>
      </c>
    </row>
    <row r="689" spans="1:27">
      <c r="A689" s="9"/>
      <c r="Z689">
        <f>TRIM(A689&amp;"")</f>
        <v/>
      </c>
      <c r="AA689">
        <f>IF(Z689="","",IF(MATCH(SUBSTITUTE(SUBSTITUTE(SUBSTITUTE(Z689,"~","~~"),"*","~*"),"?","~?"),$Z$5:$Z$5004,0)=685,MAX($AA$4:AA688)+1,""))</f>
        <v/>
      </c>
    </row>
    <row r="690" spans="1:27">
      <c r="A690" s="9"/>
      <c r="Z690">
        <f>TRIM(A690&amp;"")</f>
        <v/>
      </c>
      <c r="AA690">
        <f>IF(Z690="","",IF(MATCH(SUBSTITUTE(SUBSTITUTE(SUBSTITUTE(Z690,"~","~~"),"*","~*"),"?","~?"),$Z$5:$Z$5004,0)=686,MAX($AA$4:AA689)+1,""))</f>
        <v/>
      </c>
    </row>
    <row r="691" spans="1:27">
      <c r="A691" s="9"/>
      <c r="Z691">
        <f>TRIM(A691&amp;"")</f>
        <v/>
      </c>
      <c r="AA691">
        <f>IF(Z691="","",IF(MATCH(SUBSTITUTE(SUBSTITUTE(SUBSTITUTE(Z691,"~","~~"),"*","~*"),"?","~?"),$Z$5:$Z$5004,0)=687,MAX($AA$4:AA690)+1,""))</f>
        <v/>
      </c>
    </row>
    <row r="692" spans="1:27">
      <c r="A692" s="9"/>
      <c r="Z692">
        <f>TRIM(A692&amp;"")</f>
        <v/>
      </c>
      <c r="AA692">
        <f>IF(Z692="","",IF(MATCH(SUBSTITUTE(SUBSTITUTE(SUBSTITUTE(Z692,"~","~~"),"*","~*"),"?","~?"),$Z$5:$Z$5004,0)=688,MAX($AA$4:AA691)+1,""))</f>
        <v/>
      </c>
    </row>
    <row r="693" spans="1:27">
      <c r="A693" s="9"/>
      <c r="Z693">
        <f>TRIM(A693&amp;"")</f>
        <v/>
      </c>
      <c r="AA693">
        <f>IF(Z693="","",IF(MATCH(SUBSTITUTE(SUBSTITUTE(SUBSTITUTE(Z693,"~","~~"),"*","~*"),"?","~?"),$Z$5:$Z$5004,0)=689,MAX($AA$4:AA692)+1,""))</f>
        <v/>
      </c>
    </row>
    <row r="694" spans="1:27">
      <c r="A694" s="9"/>
      <c r="Z694">
        <f>TRIM(A694&amp;"")</f>
        <v/>
      </c>
      <c r="AA694">
        <f>IF(Z694="","",IF(MATCH(SUBSTITUTE(SUBSTITUTE(SUBSTITUTE(Z694,"~","~~"),"*","~*"),"?","~?"),$Z$5:$Z$5004,0)=690,MAX($AA$4:AA693)+1,""))</f>
        <v/>
      </c>
    </row>
    <row r="695" spans="1:27">
      <c r="A695" s="9"/>
      <c r="Z695">
        <f>TRIM(A695&amp;"")</f>
        <v/>
      </c>
      <c r="AA695">
        <f>IF(Z695="","",IF(MATCH(SUBSTITUTE(SUBSTITUTE(SUBSTITUTE(Z695,"~","~~"),"*","~*"),"?","~?"),$Z$5:$Z$5004,0)=691,MAX($AA$4:AA694)+1,""))</f>
        <v/>
      </c>
    </row>
    <row r="696" spans="1:27">
      <c r="A696" s="9"/>
      <c r="Z696">
        <f>TRIM(A696&amp;"")</f>
        <v/>
      </c>
      <c r="AA696">
        <f>IF(Z696="","",IF(MATCH(SUBSTITUTE(SUBSTITUTE(SUBSTITUTE(Z696,"~","~~"),"*","~*"),"?","~?"),$Z$5:$Z$5004,0)=692,MAX($AA$4:AA695)+1,""))</f>
        <v/>
      </c>
    </row>
    <row r="697" spans="1:27">
      <c r="A697" s="9"/>
      <c r="Z697">
        <f>TRIM(A697&amp;"")</f>
        <v/>
      </c>
      <c r="AA697">
        <f>IF(Z697="","",IF(MATCH(SUBSTITUTE(SUBSTITUTE(SUBSTITUTE(Z697,"~","~~"),"*","~*"),"?","~?"),$Z$5:$Z$5004,0)=693,MAX($AA$4:AA696)+1,""))</f>
        <v/>
      </c>
    </row>
    <row r="698" spans="1:27">
      <c r="A698" s="9"/>
      <c r="Z698">
        <f>TRIM(A698&amp;"")</f>
        <v/>
      </c>
      <c r="AA698">
        <f>IF(Z698="","",IF(MATCH(SUBSTITUTE(SUBSTITUTE(SUBSTITUTE(Z698,"~","~~"),"*","~*"),"?","~?"),$Z$5:$Z$5004,0)=694,MAX($AA$4:AA697)+1,""))</f>
        <v/>
      </c>
    </row>
    <row r="699" spans="1:27">
      <c r="A699" s="9"/>
      <c r="Z699">
        <f>TRIM(A699&amp;"")</f>
        <v/>
      </c>
      <c r="AA699">
        <f>IF(Z699="","",IF(MATCH(SUBSTITUTE(SUBSTITUTE(SUBSTITUTE(Z699,"~","~~"),"*","~*"),"?","~?"),$Z$5:$Z$5004,0)=695,MAX($AA$4:AA698)+1,""))</f>
        <v/>
      </c>
    </row>
    <row r="700" spans="1:27">
      <c r="A700" s="9"/>
      <c r="Z700">
        <f>TRIM(A700&amp;"")</f>
        <v/>
      </c>
      <c r="AA700">
        <f>IF(Z700="","",IF(MATCH(SUBSTITUTE(SUBSTITUTE(SUBSTITUTE(Z700,"~","~~"),"*","~*"),"?","~?"),$Z$5:$Z$5004,0)=696,MAX($AA$4:AA699)+1,""))</f>
        <v/>
      </c>
    </row>
    <row r="701" spans="1:27">
      <c r="A701" s="9"/>
      <c r="Z701">
        <f>TRIM(A701&amp;"")</f>
        <v/>
      </c>
      <c r="AA701">
        <f>IF(Z701="","",IF(MATCH(SUBSTITUTE(SUBSTITUTE(SUBSTITUTE(Z701,"~","~~"),"*","~*"),"?","~?"),$Z$5:$Z$5004,0)=697,MAX($AA$4:AA700)+1,""))</f>
        <v/>
      </c>
    </row>
    <row r="702" spans="1:27">
      <c r="A702" s="9"/>
      <c r="Z702">
        <f>TRIM(A702&amp;"")</f>
        <v/>
      </c>
      <c r="AA702">
        <f>IF(Z702="","",IF(MATCH(SUBSTITUTE(SUBSTITUTE(SUBSTITUTE(Z702,"~","~~"),"*","~*"),"?","~?"),$Z$5:$Z$5004,0)=698,MAX($AA$4:AA701)+1,""))</f>
        <v/>
      </c>
    </row>
    <row r="703" spans="1:27">
      <c r="A703" s="9"/>
      <c r="Z703">
        <f>TRIM(A703&amp;"")</f>
        <v/>
      </c>
      <c r="AA703">
        <f>IF(Z703="","",IF(MATCH(SUBSTITUTE(SUBSTITUTE(SUBSTITUTE(Z703,"~","~~"),"*","~*"),"?","~?"),$Z$5:$Z$5004,0)=699,MAX($AA$4:AA702)+1,""))</f>
        <v/>
      </c>
    </row>
    <row r="704" spans="1:27">
      <c r="A704" s="9"/>
      <c r="Z704">
        <f>TRIM(A704&amp;"")</f>
        <v/>
      </c>
      <c r="AA704">
        <f>IF(Z704="","",IF(MATCH(SUBSTITUTE(SUBSTITUTE(SUBSTITUTE(Z704,"~","~~"),"*","~*"),"?","~?"),$Z$5:$Z$5004,0)=700,MAX($AA$4:AA703)+1,""))</f>
        <v/>
      </c>
    </row>
    <row r="705" spans="1:27">
      <c r="A705" s="9"/>
      <c r="Z705">
        <f>TRIM(A705&amp;"")</f>
        <v/>
      </c>
      <c r="AA705">
        <f>IF(Z705="","",IF(MATCH(SUBSTITUTE(SUBSTITUTE(SUBSTITUTE(Z705,"~","~~"),"*","~*"),"?","~?"),$Z$5:$Z$5004,0)=701,MAX($AA$4:AA704)+1,""))</f>
        <v/>
      </c>
    </row>
    <row r="706" spans="1:27">
      <c r="A706" s="9"/>
      <c r="Z706">
        <f>TRIM(A706&amp;"")</f>
        <v/>
      </c>
      <c r="AA706">
        <f>IF(Z706="","",IF(MATCH(SUBSTITUTE(SUBSTITUTE(SUBSTITUTE(Z706,"~","~~"),"*","~*"),"?","~?"),$Z$5:$Z$5004,0)=702,MAX($AA$4:AA705)+1,""))</f>
        <v/>
      </c>
    </row>
    <row r="707" spans="1:27">
      <c r="A707" s="9"/>
      <c r="Z707">
        <f>TRIM(A707&amp;"")</f>
        <v/>
      </c>
      <c r="AA707">
        <f>IF(Z707="","",IF(MATCH(SUBSTITUTE(SUBSTITUTE(SUBSTITUTE(Z707,"~","~~"),"*","~*"),"?","~?"),$Z$5:$Z$5004,0)=703,MAX($AA$4:AA706)+1,""))</f>
        <v/>
      </c>
    </row>
    <row r="708" spans="1:27">
      <c r="A708" s="9"/>
      <c r="Z708">
        <f>TRIM(A708&amp;"")</f>
        <v/>
      </c>
      <c r="AA708">
        <f>IF(Z708="","",IF(MATCH(SUBSTITUTE(SUBSTITUTE(SUBSTITUTE(Z708,"~","~~"),"*","~*"),"?","~?"),$Z$5:$Z$5004,0)=704,MAX($AA$4:AA707)+1,""))</f>
        <v/>
      </c>
    </row>
    <row r="709" spans="1:27">
      <c r="A709" s="9"/>
      <c r="Z709">
        <f>TRIM(A709&amp;"")</f>
        <v/>
      </c>
      <c r="AA709">
        <f>IF(Z709="","",IF(MATCH(SUBSTITUTE(SUBSTITUTE(SUBSTITUTE(Z709,"~","~~"),"*","~*"),"?","~?"),$Z$5:$Z$5004,0)=705,MAX($AA$4:AA708)+1,""))</f>
        <v/>
      </c>
    </row>
    <row r="710" spans="1:27">
      <c r="A710" s="9"/>
      <c r="Z710">
        <f>TRIM(A710&amp;"")</f>
        <v/>
      </c>
      <c r="AA710">
        <f>IF(Z710="","",IF(MATCH(SUBSTITUTE(SUBSTITUTE(SUBSTITUTE(Z710,"~","~~"),"*","~*"),"?","~?"),$Z$5:$Z$5004,0)=706,MAX($AA$4:AA709)+1,""))</f>
        <v/>
      </c>
    </row>
    <row r="711" spans="1:27">
      <c r="A711" s="9"/>
      <c r="Z711">
        <f>TRIM(A711&amp;"")</f>
        <v/>
      </c>
      <c r="AA711">
        <f>IF(Z711="","",IF(MATCH(SUBSTITUTE(SUBSTITUTE(SUBSTITUTE(Z711,"~","~~"),"*","~*"),"?","~?"),$Z$5:$Z$5004,0)=707,MAX($AA$4:AA710)+1,""))</f>
        <v/>
      </c>
    </row>
    <row r="712" spans="1:27">
      <c r="A712" s="9"/>
      <c r="Z712">
        <f>TRIM(A712&amp;"")</f>
        <v/>
      </c>
      <c r="AA712">
        <f>IF(Z712="","",IF(MATCH(SUBSTITUTE(SUBSTITUTE(SUBSTITUTE(Z712,"~","~~"),"*","~*"),"?","~?"),$Z$5:$Z$5004,0)=708,MAX($AA$4:AA711)+1,""))</f>
        <v/>
      </c>
    </row>
    <row r="713" spans="1:27">
      <c r="A713" s="9"/>
      <c r="Z713">
        <f>TRIM(A713&amp;"")</f>
        <v/>
      </c>
      <c r="AA713">
        <f>IF(Z713="","",IF(MATCH(SUBSTITUTE(SUBSTITUTE(SUBSTITUTE(Z713,"~","~~"),"*","~*"),"?","~?"),$Z$5:$Z$5004,0)=709,MAX($AA$4:AA712)+1,""))</f>
        <v/>
      </c>
    </row>
    <row r="714" spans="1:27">
      <c r="A714" s="9"/>
      <c r="Z714">
        <f>TRIM(A714&amp;"")</f>
        <v/>
      </c>
      <c r="AA714">
        <f>IF(Z714="","",IF(MATCH(SUBSTITUTE(SUBSTITUTE(SUBSTITUTE(Z714,"~","~~"),"*","~*"),"?","~?"),$Z$5:$Z$5004,0)=710,MAX($AA$4:AA713)+1,""))</f>
        <v/>
      </c>
    </row>
    <row r="715" spans="1:27">
      <c r="A715" s="9"/>
      <c r="Z715">
        <f>TRIM(A715&amp;"")</f>
        <v/>
      </c>
      <c r="AA715">
        <f>IF(Z715="","",IF(MATCH(SUBSTITUTE(SUBSTITUTE(SUBSTITUTE(Z715,"~","~~"),"*","~*"),"?","~?"),$Z$5:$Z$5004,0)=711,MAX($AA$4:AA714)+1,""))</f>
        <v/>
      </c>
    </row>
    <row r="716" spans="1:27">
      <c r="A716" s="9"/>
      <c r="Z716">
        <f>TRIM(A716&amp;"")</f>
        <v/>
      </c>
      <c r="AA716">
        <f>IF(Z716="","",IF(MATCH(SUBSTITUTE(SUBSTITUTE(SUBSTITUTE(Z716,"~","~~"),"*","~*"),"?","~?"),$Z$5:$Z$5004,0)=712,MAX($AA$4:AA715)+1,""))</f>
        <v/>
      </c>
    </row>
    <row r="717" spans="1:27">
      <c r="A717" s="9"/>
      <c r="Z717">
        <f>TRIM(A717&amp;"")</f>
        <v/>
      </c>
      <c r="AA717">
        <f>IF(Z717="","",IF(MATCH(SUBSTITUTE(SUBSTITUTE(SUBSTITUTE(Z717,"~","~~"),"*","~*"),"?","~?"),$Z$5:$Z$5004,0)=713,MAX($AA$4:AA716)+1,""))</f>
        <v/>
      </c>
    </row>
    <row r="718" spans="1:27">
      <c r="A718" s="9"/>
      <c r="Z718">
        <f>TRIM(A718&amp;"")</f>
        <v/>
      </c>
      <c r="AA718">
        <f>IF(Z718="","",IF(MATCH(SUBSTITUTE(SUBSTITUTE(SUBSTITUTE(Z718,"~","~~"),"*","~*"),"?","~?"),$Z$5:$Z$5004,0)=714,MAX($AA$4:AA717)+1,""))</f>
        <v/>
      </c>
    </row>
    <row r="719" spans="1:27">
      <c r="A719" s="9"/>
      <c r="Z719">
        <f>TRIM(A719&amp;"")</f>
        <v/>
      </c>
      <c r="AA719">
        <f>IF(Z719="","",IF(MATCH(SUBSTITUTE(SUBSTITUTE(SUBSTITUTE(Z719,"~","~~"),"*","~*"),"?","~?"),$Z$5:$Z$5004,0)=715,MAX($AA$4:AA718)+1,""))</f>
        <v/>
      </c>
    </row>
    <row r="720" spans="1:27">
      <c r="A720" s="9"/>
      <c r="Z720">
        <f>TRIM(A720&amp;"")</f>
        <v/>
      </c>
      <c r="AA720">
        <f>IF(Z720="","",IF(MATCH(SUBSTITUTE(SUBSTITUTE(SUBSTITUTE(Z720,"~","~~"),"*","~*"),"?","~?"),$Z$5:$Z$5004,0)=716,MAX($AA$4:AA719)+1,""))</f>
        <v/>
      </c>
    </row>
    <row r="721" spans="1:27">
      <c r="A721" s="9"/>
      <c r="Z721">
        <f>TRIM(A721&amp;"")</f>
        <v/>
      </c>
      <c r="AA721">
        <f>IF(Z721="","",IF(MATCH(SUBSTITUTE(SUBSTITUTE(SUBSTITUTE(Z721,"~","~~"),"*","~*"),"?","~?"),$Z$5:$Z$5004,0)=717,MAX($AA$4:AA720)+1,""))</f>
        <v/>
      </c>
    </row>
    <row r="722" spans="1:27">
      <c r="A722" s="9"/>
      <c r="Z722">
        <f>TRIM(A722&amp;"")</f>
        <v/>
      </c>
      <c r="AA722">
        <f>IF(Z722="","",IF(MATCH(SUBSTITUTE(SUBSTITUTE(SUBSTITUTE(Z722,"~","~~"),"*","~*"),"?","~?"),$Z$5:$Z$5004,0)=718,MAX($AA$4:AA721)+1,""))</f>
        <v/>
      </c>
    </row>
    <row r="723" spans="1:27">
      <c r="A723" s="9"/>
      <c r="Z723">
        <f>TRIM(A723&amp;"")</f>
        <v/>
      </c>
      <c r="AA723">
        <f>IF(Z723="","",IF(MATCH(SUBSTITUTE(SUBSTITUTE(SUBSTITUTE(Z723,"~","~~"),"*","~*"),"?","~?"),$Z$5:$Z$5004,0)=719,MAX($AA$4:AA722)+1,""))</f>
        <v/>
      </c>
    </row>
    <row r="724" spans="1:27">
      <c r="A724" s="9"/>
      <c r="Z724">
        <f>TRIM(A724&amp;"")</f>
        <v/>
      </c>
      <c r="AA724">
        <f>IF(Z724="","",IF(MATCH(SUBSTITUTE(SUBSTITUTE(SUBSTITUTE(Z724,"~","~~"),"*","~*"),"?","~?"),$Z$5:$Z$5004,0)=720,MAX($AA$4:AA723)+1,""))</f>
        <v/>
      </c>
    </row>
    <row r="725" spans="1:27">
      <c r="A725" s="9"/>
      <c r="Z725">
        <f>TRIM(A725&amp;"")</f>
        <v/>
      </c>
      <c r="AA725">
        <f>IF(Z725="","",IF(MATCH(SUBSTITUTE(SUBSTITUTE(SUBSTITUTE(Z725,"~","~~"),"*","~*"),"?","~?"),$Z$5:$Z$5004,0)=721,MAX($AA$4:AA724)+1,""))</f>
        <v/>
      </c>
    </row>
    <row r="726" spans="1:27">
      <c r="A726" s="9"/>
      <c r="Z726">
        <f>TRIM(A726&amp;"")</f>
        <v/>
      </c>
      <c r="AA726">
        <f>IF(Z726="","",IF(MATCH(SUBSTITUTE(SUBSTITUTE(SUBSTITUTE(Z726,"~","~~"),"*","~*"),"?","~?"),$Z$5:$Z$5004,0)=722,MAX($AA$4:AA725)+1,""))</f>
        <v/>
      </c>
    </row>
    <row r="727" spans="1:27">
      <c r="A727" s="9"/>
      <c r="Z727">
        <f>TRIM(A727&amp;"")</f>
        <v/>
      </c>
      <c r="AA727">
        <f>IF(Z727="","",IF(MATCH(SUBSTITUTE(SUBSTITUTE(SUBSTITUTE(Z727,"~","~~"),"*","~*"),"?","~?"),$Z$5:$Z$5004,0)=723,MAX($AA$4:AA726)+1,""))</f>
        <v/>
      </c>
    </row>
    <row r="728" spans="1:27">
      <c r="A728" s="9"/>
      <c r="Z728">
        <f>TRIM(A728&amp;"")</f>
        <v/>
      </c>
      <c r="AA728">
        <f>IF(Z728="","",IF(MATCH(SUBSTITUTE(SUBSTITUTE(SUBSTITUTE(Z728,"~","~~"),"*","~*"),"?","~?"),$Z$5:$Z$5004,0)=724,MAX($AA$4:AA727)+1,""))</f>
        <v/>
      </c>
    </row>
    <row r="729" spans="1:27">
      <c r="A729" s="9"/>
      <c r="Z729">
        <f>TRIM(A729&amp;"")</f>
        <v/>
      </c>
      <c r="AA729">
        <f>IF(Z729="","",IF(MATCH(SUBSTITUTE(SUBSTITUTE(SUBSTITUTE(Z729,"~","~~"),"*","~*"),"?","~?"),$Z$5:$Z$5004,0)=725,MAX($AA$4:AA728)+1,""))</f>
        <v/>
      </c>
    </row>
    <row r="730" spans="1:27">
      <c r="A730" s="9"/>
      <c r="Z730">
        <f>TRIM(A730&amp;"")</f>
        <v/>
      </c>
      <c r="AA730">
        <f>IF(Z730="","",IF(MATCH(SUBSTITUTE(SUBSTITUTE(SUBSTITUTE(Z730,"~","~~"),"*","~*"),"?","~?"),$Z$5:$Z$5004,0)=726,MAX($AA$4:AA729)+1,""))</f>
        <v/>
      </c>
    </row>
    <row r="731" spans="1:27">
      <c r="A731" s="9"/>
      <c r="Z731">
        <f>TRIM(A731&amp;"")</f>
        <v/>
      </c>
      <c r="AA731">
        <f>IF(Z731="","",IF(MATCH(SUBSTITUTE(SUBSTITUTE(SUBSTITUTE(Z731,"~","~~"),"*","~*"),"?","~?"),$Z$5:$Z$5004,0)=727,MAX($AA$4:AA730)+1,""))</f>
        <v/>
      </c>
    </row>
    <row r="732" spans="1:27">
      <c r="A732" s="9"/>
      <c r="Z732">
        <f>TRIM(A732&amp;"")</f>
        <v/>
      </c>
      <c r="AA732">
        <f>IF(Z732="","",IF(MATCH(SUBSTITUTE(SUBSTITUTE(SUBSTITUTE(Z732,"~","~~"),"*","~*"),"?","~?"),$Z$5:$Z$5004,0)=728,MAX($AA$4:AA731)+1,""))</f>
        <v/>
      </c>
    </row>
    <row r="733" spans="1:27">
      <c r="A733" s="9"/>
      <c r="Z733">
        <f>TRIM(A733&amp;"")</f>
        <v/>
      </c>
      <c r="AA733">
        <f>IF(Z733="","",IF(MATCH(SUBSTITUTE(SUBSTITUTE(SUBSTITUTE(Z733,"~","~~"),"*","~*"),"?","~?"),$Z$5:$Z$5004,0)=729,MAX($AA$4:AA732)+1,""))</f>
        <v/>
      </c>
    </row>
    <row r="734" spans="1:27">
      <c r="A734" s="9"/>
      <c r="Z734">
        <f>TRIM(A734&amp;"")</f>
        <v/>
      </c>
      <c r="AA734">
        <f>IF(Z734="","",IF(MATCH(SUBSTITUTE(SUBSTITUTE(SUBSTITUTE(Z734,"~","~~"),"*","~*"),"?","~?"),$Z$5:$Z$5004,0)=730,MAX($AA$4:AA733)+1,""))</f>
        <v/>
      </c>
    </row>
    <row r="735" spans="1:27">
      <c r="A735" s="9"/>
      <c r="Z735">
        <f>TRIM(A735&amp;"")</f>
        <v/>
      </c>
      <c r="AA735">
        <f>IF(Z735="","",IF(MATCH(SUBSTITUTE(SUBSTITUTE(SUBSTITUTE(Z735,"~","~~"),"*","~*"),"?","~?"),$Z$5:$Z$5004,0)=731,MAX($AA$4:AA734)+1,""))</f>
        <v/>
      </c>
    </row>
    <row r="736" spans="1:27">
      <c r="A736" s="9"/>
      <c r="Z736">
        <f>TRIM(A736&amp;"")</f>
        <v/>
      </c>
      <c r="AA736">
        <f>IF(Z736="","",IF(MATCH(SUBSTITUTE(SUBSTITUTE(SUBSTITUTE(Z736,"~","~~"),"*","~*"),"?","~?"),$Z$5:$Z$5004,0)=732,MAX($AA$4:AA735)+1,""))</f>
        <v/>
      </c>
    </row>
    <row r="737" spans="1:27">
      <c r="A737" s="9"/>
      <c r="Z737">
        <f>TRIM(A737&amp;"")</f>
        <v/>
      </c>
      <c r="AA737">
        <f>IF(Z737="","",IF(MATCH(SUBSTITUTE(SUBSTITUTE(SUBSTITUTE(Z737,"~","~~"),"*","~*"),"?","~?"),$Z$5:$Z$5004,0)=733,MAX($AA$4:AA736)+1,""))</f>
        <v/>
      </c>
    </row>
    <row r="738" spans="1:27">
      <c r="A738" s="9"/>
      <c r="Z738">
        <f>TRIM(A738&amp;"")</f>
        <v/>
      </c>
      <c r="AA738">
        <f>IF(Z738="","",IF(MATCH(SUBSTITUTE(SUBSTITUTE(SUBSTITUTE(Z738,"~","~~"),"*","~*"),"?","~?"),$Z$5:$Z$5004,0)=734,MAX($AA$4:AA737)+1,""))</f>
        <v/>
      </c>
    </row>
    <row r="739" spans="1:27">
      <c r="A739" s="9"/>
      <c r="Z739">
        <f>TRIM(A739&amp;"")</f>
        <v/>
      </c>
      <c r="AA739">
        <f>IF(Z739="","",IF(MATCH(SUBSTITUTE(SUBSTITUTE(SUBSTITUTE(Z739,"~","~~"),"*","~*"),"?","~?"),$Z$5:$Z$5004,0)=735,MAX($AA$4:AA738)+1,""))</f>
        <v/>
      </c>
    </row>
    <row r="740" spans="1:27">
      <c r="A740" s="9"/>
      <c r="Z740">
        <f>TRIM(A740&amp;"")</f>
        <v/>
      </c>
      <c r="AA740">
        <f>IF(Z740="","",IF(MATCH(SUBSTITUTE(SUBSTITUTE(SUBSTITUTE(Z740,"~","~~"),"*","~*"),"?","~?"),$Z$5:$Z$5004,0)=736,MAX($AA$4:AA739)+1,""))</f>
        <v/>
      </c>
    </row>
    <row r="741" spans="1:27">
      <c r="A741" s="9"/>
      <c r="Z741">
        <f>TRIM(A741&amp;"")</f>
        <v/>
      </c>
      <c r="AA741">
        <f>IF(Z741="","",IF(MATCH(SUBSTITUTE(SUBSTITUTE(SUBSTITUTE(Z741,"~","~~"),"*","~*"),"?","~?"),$Z$5:$Z$5004,0)=737,MAX($AA$4:AA740)+1,""))</f>
        <v/>
      </c>
    </row>
    <row r="742" spans="1:27">
      <c r="A742" s="9"/>
      <c r="Z742">
        <f>TRIM(A742&amp;"")</f>
        <v/>
      </c>
      <c r="AA742">
        <f>IF(Z742="","",IF(MATCH(SUBSTITUTE(SUBSTITUTE(SUBSTITUTE(Z742,"~","~~"),"*","~*"),"?","~?"),$Z$5:$Z$5004,0)=738,MAX($AA$4:AA741)+1,""))</f>
        <v/>
      </c>
    </row>
    <row r="743" spans="1:27">
      <c r="A743" s="9"/>
      <c r="Z743">
        <f>TRIM(A743&amp;"")</f>
        <v/>
      </c>
      <c r="AA743">
        <f>IF(Z743="","",IF(MATCH(SUBSTITUTE(SUBSTITUTE(SUBSTITUTE(Z743,"~","~~"),"*","~*"),"?","~?"),$Z$5:$Z$5004,0)=739,MAX($AA$4:AA742)+1,""))</f>
        <v/>
      </c>
    </row>
    <row r="744" spans="1:27">
      <c r="A744" s="9"/>
      <c r="Z744">
        <f>TRIM(A744&amp;"")</f>
        <v/>
      </c>
      <c r="AA744">
        <f>IF(Z744="","",IF(MATCH(SUBSTITUTE(SUBSTITUTE(SUBSTITUTE(Z744,"~","~~"),"*","~*"),"?","~?"),$Z$5:$Z$5004,0)=740,MAX($AA$4:AA743)+1,""))</f>
        <v/>
      </c>
    </row>
    <row r="745" spans="1:27">
      <c r="A745" s="9"/>
      <c r="Z745">
        <f>TRIM(A745&amp;"")</f>
        <v/>
      </c>
      <c r="AA745">
        <f>IF(Z745="","",IF(MATCH(SUBSTITUTE(SUBSTITUTE(SUBSTITUTE(Z745,"~","~~"),"*","~*"),"?","~?"),$Z$5:$Z$5004,0)=741,MAX($AA$4:AA744)+1,""))</f>
        <v/>
      </c>
    </row>
    <row r="746" spans="1:27">
      <c r="A746" s="9"/>
      <c r="Z746">
        <f>TRIM(A746&amp;"")</f>
        <v/>
      </c>
      <c r="AA746">
        <f>IF(Z746="","",IF(MATCH(SUBSTITUTE(SUBSTITUTE(SUBSTITUTE(Z746,"~","~~"),"*","~*"),"?","~?"),$Z$5:$Z$5004,0)=742,MAX($AA$4:AA745)+1,""))</f>
        <v/>
      </c>
    </row>
    <row r="747" spans="1:27">
      <c r="A747" s="9"/>
      <c r="Z747">
        <f>TRIM(A747&amp;"")</f>
        <v/>
      </c>
      <c r="AA747">
        <f>IF(Z747="","",IF(MATCH(SUBSTITUTE(SUBSTITUTE(SUBSTITUTE(Z747,"~","~~"),"*","~*"),"?","~?"),$Z$5:$Z$5004,0)=743,MAX($AA$4:AA746)+1,""))</f>
        <v/>
      </c>
    </row>
    <row r="748" spans="1:27">
      <c r="A748" s="9"/>
      <c r="Z748">
        <f>TRIM(A748&amp;"")</f>
        <v/>
      </c>
      <c r="AA748">
        <f>IF(Z748="","",IF(MATCH(SUBSTITUTE(SUBSTITUTE(SUBSTITUTE(Z748,"~","~~"),"*","~*"),"?","~?"),$Z$5:$Z$5004,0)=744,MAX($AA$4:AA747)+1,""))</f>
        <v/>
      </c>
    </row>
    <row r="749" spans="1:27">
      <c r="A749" s="9"/>
      <c r="Z749">
        <f>TRIM(A749&amp;"")</f>
        <v/>
      </c>
      <c r="AA749">
        <f>IF(Z749="","",IF(MATCH(SUBSTITUTE(SUBSTITUTE(SUBSTITUTE(Z749,"~","~~"),"*","~*"),"?","~?"),$Z$5:$Z$5004,0)=745,MAX($AA$4:AA748)+1,""))</f>
        <v/>
      </c>
    </row>
    <row r="750" spans="1:27">
      <c r="A750" s="9"/>
      <c r="Z750">
        <f>TRIM(A750&amp;"")</f>
        <v/>
      </c>
      <c r="AA750">
        <f>IF(Z750="","",IF(MATCH(SUBSTITUTE(SUBSTITUTE(SUBSTITUTE(Z750,"~","~~"),"*","~*"),"?","~?"),$Z$5:$Z$5004,0)=746,MAX($AA$4:AA749)+1,""))</f>
        <v/>
      </c>
    </row>
    <row r="751" spans="1:27">
      <c r="A751" s="9"/>
      <c r="Z751">
        <f>TRIM(A751&amp;"")</f>
        <v/>
      </c>
      <c r="AA751">
        <f>IF(Z751="","",IF(MATCH(SUBSTITUTE(SUBSTITUTE(SUBSTITUTE(Z751,"~","~~"),"*","~*"),"?","~?"),$Z$5:$Z$5004,0)=747,MAX($AA$4:AA750)+1,""))</f>
        <v/>
      </c>
    </row>
    <row r="752" spans="1:27">
      <c r="A752" s="9"/>
      <c r="Z752">
        <f>TRIM(A752&amp;"")</f>
        <v/>
      </c>
      <c r="AA752">
        <f>IF(Z752="","",IF(MATCH(SUBSTITUTE(SUBSTITUTE(SUBSTITUTE(Z752,"~","~~"),"*","~*"),"?","~?"),$Z$5:$Z$5004,0)=748,MAX($AA$4:AA751)+1,""))</f>
        <v/>
      </c>
    </row>
    <row r="753" spans="1:27">
      <c r="A753" s="9"/>
      <c r="Z753">
        <f>TRIM(A753&amp;"")</f>
        <v/>
      </c>
      <c r="AA753">
        <f>IF(Z753="","",IF(MATCH(SUBSTITUTE(SUBSTITUTE(SUBSTITUTE(Z753,"~","~~"),"*","~*"),"?","~?"),$Z$5:$Z$5004,0)=749,MAX($AA$4:AA752)+1,""))</f>
        <v/>
      </c>
    </row>
    <row r="754" spans="1:27">
      <c r="A754" s="9"/>
      <c r="Z754">
        <f>TRIM(A754&amp;"")</f>
        <v/>
      </c>
      <c r="AA754">
        <f>IF(Z754="","",IF(MATCH(SUBSTITUTE(SUBSTITUTE(SUBSTITUTE(Z754,"~","~~"),"*","~*"),"?","~?"),$Z$5:$Z$5004,0)=750,MAX($AA$4:AA753)+1,""))</f>
        <v/>
      </c>
    </row>
    <row r="755" spans="1:27">
      <c r="A755" s="9"/>
      <c r="Z755">
        <f>TRIM(A755&amp;"")</f>
        <v/>
      </c>
      <c r="AA755">
        <f>IF(Z755="","",IF(MATCH(SUBSTITUTE(SUBSTITUTE(SUBSTITUTE(Z755,"~","~~"),"*","~*"),"?","~?"),$Z$5:$Z$5004,0)=751,MAX($AA$4:AA754)+1,""))</f>
        <v/>
      </c>
    </row>
    <row r="756" spans="1:27">
      <c r="A756" s="9"/>
      <c r="Z756">
        <f>TRIM(A756&amp;"")</f>
        <v/>
      </c>
      <c r="AA756">
        <f>IF(Z756="","",IF(MATCH(SUBSTITUTE(SUBSTITUTE(SUBSTITUTE(Z756,"~","~~"),"*","~*"),"?","~?"),$Z$5:$Z$5004,0)=752,MAX($AA$4:AA755)+1,""))</f>
        <v/>
      </c>
    </row>
    <row r="757" spans="1:27">
      <c r="A757" s="9"/>
      <c r="Z757">
        <f>TRIM(A757&amp;"")</f>
        <v/>
      </c>
      <c r="AA757">
        <f>IF(Z757="","",IF(MATCH(SUBSTITUTE(SUBSTITUTE(SUBSTITUTE(Z757,"~","~~"),"*","~*"),"?","~?"),$Z$5:$Z$5004,0)=753,MAX($AA$4:AA756)+1,""))</f>
        <v/>
      </c>
    </row>
    <row r="758" spans="1:27">
      <c r="A758" s="9"/>
      <c r="Z758">
        <f>TRIM(A758&amp;"")</f>
        <v/>
      </c>
      <c r="AA758">
        <f>IF(Z758="","",IF(MATCH(SUBSTITUTE(SUBSTITUTE(SUBSTITUTE(Z758,"~","~~"),"*","~*"),"?","~?"),$Z$5:$Z$5004,0)=754,MAX($AA$4:AA757)+1,""))</f>
        <v/>
      </c>
    </row>
    <row r="759" spans="1:27">
      <c r="A759" s="9"/>
      <c r="Z759">
        <f>TRIM(A759&amp;"")</f>
        <v/>
      </c>
      <c r="AA759">
        <f>IF(Z759="","",IF(MATCH(SUBSTITUTE(SUBSTITUTE(SUBSTITUTE(Z759,"~","~~"),"*","~*"),"?","~?"),$Z$5:$Z$5004,0)=755,MAX($AA$4:AA758)+1,""))</f>
        <v/>
      </c>
    </row>
    <row r="760" spans="1:27">
      <c r="A760" s="9"/>
      <c r="Z760">
        <f>TRIM(A760&amp;"")</f>
        <v/>
      </c>
      <c r="AA760">
        <f>IF(Z760="","",IF(MATCH(SUBSTITUTE(SUBSTITUTE(SUBSTITUTE(Z760,"~","~~"),"*","~*"),"?","~?"),$Z$5:$Z$5004,0)=756,MAX($AA$4:AA759)+1,""))</f>
        <v/>
      </c>
    </row>
    <row r="761" spans="1:27">
      <c r="A761" s="9"/>
      <c r="Z761">
        <f>TRIM(A761&amp;"")</f>
        <v/>
      </c>
      <c r="AA761">
        <f>IF(Z761="","",IF(MATCH(SUBSTITUTE(SUBSTITUTE(SUBSTITUTE(Z761,"~","~~"),"*","~*"),"?","~?"),$Z$5:$Z$5004,0)=757,MAX($AA$4:AA760)+1,""))</f>
        <v/>
      </c>
    </row>
    <row r="762" spans="1:27">
      <c r="A762" s="9"/>
      <c r="Z762">
        <f>TRIM(A762&amp;"")</f>
        <v/>
      </c>
      <c r="AA762">
        <f>IF(Z762="","",IF(MATCH(SUBSTITUTE(SUBSTITUTE(SUBSTITUTE(Z762,"~","~~"),"*","~*"),"?","~?"),$Z$5:$Z$5004,0)=758,MAX($AA$4:AA761)+1,""))</f>
        <v/>
      </c>
    </row>
    <row r="763" spans="1:27">
      <c r="A763" s="9"/>
      <c r="Z763">
        <f>TRIM(A763&amp;"")</f>
        <v/>
      </c>
      <c r="AA763">
        <f>IF(Z763="","",IF(MATCH(SUBSTITUTE(SUBSTITUTE(SUBSTITUTE(Z763,"~","~~"),"*","~*"),"?","~?"),$Z$5:$Z$5004,0)=759,MAX($AA$4:AA762)+1,""))</f>
        <v/>
      </c>
    </row>
    <row r="764" spans="1:27">
      <c r="A764" s="9"/>
      <c r="Z764">
        <f>TRIM(A764&amp;"")</f>
        <v/>
      </c>
      <c r="AA764">
        <f>IF(Z764="","",IF(MATCH(SUBSTITUTE(SUBSTITUTE(SUBSTITUTE(Z764,"~","~~"),"*","~*"),"?","~?"),$Z$5:$Z$5004,0)=760,MAX($AA$4:AA763)+1,""))</f>
        <v/>
      </c>
    </row>
    <row r="765" spans="1:27">
      <c r="A765" s="9"/>
      <c r="Z765">
        <f>TRIM(A765&amp;"")</f>
        <v/>
      </c>
      <c r="AA765">
        <f>IF(Z765="","",IF(MATCH(SUBSTITUTE(SUBSTITUTE(SUBSTITUTE(Z765,"~","~~"),"*","~*"),"?","~?"),$Z$5:$Z$5004,0)=761,MAX($AA$4:AA764)+1,""))</f>
        <v/>
      </c>
    </row>
    <row r="766" spans="1:27">
      <c r="A766" s="9"/>
      <c r="Z766">
        <f>TRIM(A766&amp;"")</f>
        <v/>
      </c>
      <c r="AA766">
        <f>IF(Z766="","",IF(MATCH(SUBSTITUTE(SUBSTITUTE(SUBSTITUTE(Z766,"~","~~"),"*","~*"),"?","~?"),$Z$5:$Z$5004,0)=762,MAX($AA$4:AA765)+1,""))</f>
        <v/>
      </c>
    </row>
    <row r="767" spans="1:27">
      <c r="A767" s="9"/>
      <c r="Z767">
        <f>TRIM(A767&amp;"")</f>
        <v/>
      </c>
      <c r="AA767">
        <f>IF(Z767="","",IF(MATCH(SUBSTITUTE(SUBSTITUTE(SUBSTITUTE(Z767,"~","~~"),"*","~*"),"?","~?"),$Z$5:$Z$5004,0)=763,MAX($AA$4:AA766)+1,""))</f>
        <v/>
      </c>
    </row>
    <row r="768" spans="1:27">
      <c r="A768" s="9"/>
      <c r="Z768">
        <f>TRIM(A768&amp;"")</f>
        <v/>
      </c>
      <c r="AA768">
        <f>IF(Z768="","",IF(MATCH(SUBSTITUTE(SUBSTITUTE(SUBSTITUTE(Z768,"~","~~"),"*","~*"),"?","~?"),$Z$5:$Z$5004,0)=764,MAX($AA$4:AA767)+1,""))</f>
        <v/>
      </c>
    </row>
    <row r="769" spans="1:27">
      <c r="A769" s="9"/>
      <c r="Z769">
        <f>TRIM(A769&amp;"")</f>
        <v/>
      </c>
      <c r="AA769">
        <f>IF(Z769="","",IF(MATCH(SUBSTITUTE(SUBSTITUTE(SUBSTITUTE(Z769,"~","~~"),"*","~*"),"?","~?"),$Z$5:$Z$5004,0)=765,MAX($AA$4:AA768)+1,""))</f>
        <v/>
      </c>
    </row>
    <row r="770" spans="1:27">
      <c r="A770" s="9"/>
      <c r="Z770">
        <f>TRIM(A770&amp;"")</f>
        <v/>
      </c>
      <c r="AA770">
        <f>IF(Z770="","",IF(MATCH(SUBSTITUTE(SUBSTITUTE(SUBSTITUTE(Z770,"~","~~"),"*","~*"),"?","~?"),$Z$5:$Z$5004,0)=766,MAX($AA$4:AA769)+1,""))</f>
        <v/>
      </c>
    </row>
    <row r="771" spans="1:27">
      <c r="A771" s="9"/>
      <c r="Z771">
        <f>TRIM(A771&amp;"")</f>
        <v/>
      </c>
      <c r="AA771">
        <f>IF(Z771="","",IF(MATCH(SUBSTITUTE(SUBSTITUTE(SUBSTITUTE(Z771,"~","~~"),"*","~*"),"?","~?"),$Z$5:$Z$5004,0)=767,MAX($AA$4:AA770)+1,""))</f>
        <v/>
      </c>
    </row>
    <row r="772" spans="1:27">
      <c r="A772" s="9"/>
      <c r="Z772">
        <f>TRIM(A772&amp;"")</f>
        <v/>
      </c>
      <c r="AA772">
        <f>IF(Z772="","",IF(MATCH(SUBSTITUTE(SUBSTITUTE(SUBSTITUTE(Z772,"~","~~"),"*","~*"),"?","~?"),$Z$5:$Z$5004,0)=768,MAX($AA$4:AA771)+1,""))</f>
        <v/>
      </c>
    </row>
    <row r="773" spans="1:27">
      <c r="A773" s="9"/>
      <c r="Z773">
        <f>TRIM(A773&amp;"")</f>
        <v/>
      </c>
      <c r="AA773">
        <f>IF(Z773="","",IF(MATCH(SUBSTITUTE(SUBSTITUTE(SUBSTITUTE(Z773,"~","~~"),"*","~*"),"?","~?"),$Z$5:$Z$5004,0)=769,MAX($AA$4:AA772)+1,""))</f>
        <v/>
      </c>
    </row>
    <row r="774" spans="1:27">
      <c r="A774" s="9"/>
      <c r="Z774">
        <f>TRIM(A774&amp;"")</f>
        <v/>
      </c>
      <c r="AA774">
        <f>IF(Z774="","",IF(MATCH(SUBSTITUTE(SUBSTITUTE(SUBSTITUTE(Z774,"~","~~"),"*","~*"),"?","~?"),$Z$5:$Z$5004,0)=770,MAX($AA$4:AA773)+1,""))</f>
        <v/>
      </c>
    </row>
    <row r="775" spans="1:27">
      <c r="A775" s="9"/>
      <c r="Z775">
        <f>TRIM(A775&amp;"")</f>
        <v/>
      </c>
      <c r="AA775">
        <f>IF(Z775="","",IF(MATCH(SUBSTITUTE(SUBSTITUTE(SUBSTITUTE(Z775,"~","~~"),"*","~*"),"?","~?"),$Z$5:$Z$5004,0)=771,MAX($AA$4:AA774)+1,""))</f>
        <v/>
      </c>
    </row>
    <row r="776" spans="1:27">
      <c r="A776" s="9"/>
      <c r="Z776">
        <f>TRIM(A776&amp;"")</f>
        <v/>
      </c>
      <c r="AA776">
        <f>IF(Z776="","",IF(MATCH(SUBSTITUTE(SUBSTITUTE(SUBSTITUTE(Z776,"~","~~"),"*","~*"),"?","~?"),$Z$5:$Z$5004,0)=772,MAX($AA$4:AA775)+1,""))</f>
        <v/>
      </c>
    </row>
    <row r="777" spans="1:27">
      <c r="A777" s="9"/>
      <c r="Z777">
        <f>TRIM(A777&amp;"")</f>
        <v/>
      </c>
      <c r="AA777">
        <f>IF(Z777="","",IF(MATCH(SUBSTITUTE(SUBSTITUTE(SUBSTITUTE(Z777,"~","~~"),"*","~*"),"?","~?"),$Z$5:$Z$5004,0)=773,MAX($AA$4:AA776)+1,""))</f>
        <v/>
      </c>
    </row>
    <row r="778" spans="1:27">
      <c r="A778" s="9"/>
      <c r="Z778">
        <f>TRIM(A778&amp;"")</f>
        <v/>
      </c>
      <c r="AA778">
        <f>IF(Z778="","",IF(MATCH(SUBSTITUTE(SUBSTITUTE(SUBSTITUTE(Z778,"~","~~"),"*","~*"),"?","~?"),$Z$5:$Z$5004,0)=774,MAX($AA$4:AA777)+1,""))</f>
        <v/>
      </c>
    </row>
    <row r="779" spans="1:27">
      <c r="A779" s="9"/>
      <c r="Z779">
        <f>TRIM(A779&amp;"")</f>
        <v/>
      </c>
      <c r="AA779">
        <f>IF(Z779="","",IF(MATCH(SUBSTITUTE(SUBSTITUTE(SUBSTITUTE(Z779,"~","~~"),"*","~*"),"?","~?"),$Z$5:$Z$5004,0)=775,MAX($AA$4:AA778)+1,""))</f>
        <v/>
      </c>
    </row>
    <row r="780" spans="1:27">
      <c r="A780" s="9"/>
      <c r="Z780">
        <f>TRIM(A780&amp;"")</f>
        <v/>
      </c>
      <c r="AA780">
        <f>IF(Z780="","",IF(MATCH(SUBSTITUTE(SUBSTITUTE(SUBSTITUTE(Z780,"~","~~"),"*","~*"),"?","~?"),$Z$5:$Z$5004,0)=776,MAX($AA$4:AA779)+1,""))</f>
        <v/>
      </c>
    </row>
    <row r="781" spans="1:27">
      <c r="A781" s="9"/>
      <c r="Z781">
        <f>TRIM(A781&amp;"")</f>
        <v/>
      </c>
      <c r="AA781">
        <f>IF(Z781="","",IF(MATCH(SUBSTITUTE(SUBSTITUTE(SUBSTITUTE(Z781,"~","~~"),"*","~*"),"?","~?"),$Z$5:$Z$5004,0)=777,MAX($AA$4:AA780)+1,""))</f>
        <v/>
      </c>
    </row>
    <row r="782" spans="1:27">
      <c r="A782" s="9"/>
      <c r="Z782">
        <f>TRIM(A782&amp;"")</f>
        <v/>
      </c>
      <c r="AA782">
        <f>IF(Z782="","",IF(MATCH(SUBSTITUTE(SUBSTITUTE(SUBSTITUTE(Z782,"~","~~"),"*","~*"),"?","~?"),$Z$5:$Z$5004,0)=778,MAX($AA$4:AA781)+1,""))</f>
        <v/>
      </c>
    </row>
    <row r="783" spans="1:27">
      <c r="A783" s="9"/>
      <c r="Z783">
        <f>TRIM(A783&amp;"")</f>
        <v/>
      </c>
      <c r="AA783">
        <f>IF(Z783="","",IF(MATCH(SUBSTITUTE(SUBSTITUTE(SUBSTITUTE(Z783,"~","~~"),"*","~*"),"?","~?"),$Z$5:$Z$5004,0)=779,MAX($AA$4:AA782)+1,""))</f>
        <v/>
      </c>
    </row>
    <row r="784" spans="1:27">
      <c r="A784" s="9"/>
      <c r="Z784">
        <f>TRIM(A784&amp;"")</f>
        <v/>
      </c>
      <c r="AA784">
        <f>IF(Z784="","",IF(MATCH(SUBSTITUTE(SUBSTITUTE(SUBSTITUTE(Z784,"~","~~"),"*","~*"),"?","~?"),$Z$5:$Z$5004,0)=780,MAX($AA$4:AA783)+1,""))</f>
        <v/>
      </c>
    </row>
    <row r="785" spans="1:27">
      <c r="A785" s="9"/>
      <c r="Z785">
        <f>TRIM(A785&amp;"")</f>
        <v/>
      </c>
      <c r="AA785">
        <f>IF(Z785="","",IF(MATCH(SUBSTITUTE(SUBSTITUTE(SUBSTITUTE(Z785,"~","~~"),"*","~*"),"?","~?"),$Z$5:$Z$5004,0)=781,MAX($AA$4:AA784)+1,""))</f>
        <v/>
      </c>
    </row>
    <row r="786" spans="1:27">
      <c r="A786" s="9"/>
      <c r="Z786">
        <f>TRIM(A786&amp;"")</f>
        <v/>
      </c>
      <c r="AA786">
        <f>IF(Z786="","",IF(MATCH(SUBSTITUTE(SUBSTITUTE(SUBSTITUTE(Z786,"~","~~"),"*","~*"),"?","~?"),$Z$5:$Z$5004,0)=782,MAX($AA$4:AA785)+1,""))</f>
        <v/>
      </c>
    </row>
    <row r="787" spans="1:27">
      <c r="A787" s="9"/>
      <c r="Z787">
        <f>TRIM(A787&amp;"")</f>
        <v/>
      </c>
      <c r="AA787">
        <f>IF(Z787="","",IF(MATCH(SUBSTITUTE(SUBSTITUTE(SUBSTITUTE(Z787,"~","~~"),"*","~*"),"?","~?"),$Z$5:$Z$5004,0)=783,MAX($AA$4:AA786)+1,""))</f>
        <v/>
      </c>
    </row>
    <row r="788" spans="1:27">
      <c r="A788" s="9"/>
      <c r="Z788">
        <f>TRIM(A788&amp;"")</f>
        <v/>
      </c>
      <c r="AA788">
        <f>IF(Z788="","",IF(MATCH(SUBSTITUTE(SUBSTITUTE(SUBSTITUTE(Z788,"~","~~"),"*","~*"),"?","~?"),$Z$5:$Z$5004,0)=784,MAX($AA$4:AA787)+1,""))</f>
        <v/>
      </c>
    </row>
    <row r="789" spans="1:27">
      <c r="A789" s="9"/>
      <c r="Z789">
        <f>TRIM(A789&amp;"")</f>
        <v/>
      </c>
      <c r="AA789">
        <f>IF(Z789="","",IF(MATCH(SUBSTITUTE(SUBSTITUTE(SUBSTITUTE(Z789,"~","~~"),"*","~*"),"?","~?"),$Z$5:$Z$5004,0)=785,MAX($AA$4:AA788)+1,""))</f>
        <v/>
      </c>
    </row>
    <row r="790" spans="1:27">
      <c r="A790" s="9"/>
      <c r="Z790">
        <f>TRIM(A790&amp;"")</f>
        <v/>
      </c>
      <c r="AA790">
        <f>IF(Z790="","",IF(MATCH(SUBSTITUTE(SUBSTITUTE(SUBSTITUTE(Z790,"~","~~"),"*","~*"),"?","~?"),$Z$5:$Z$5004,0)=786,MAX($AA$4:AA789)+1,""))</f>
        <v/>
      </c>
    </row>
    <row r="791" spans="1:27">
      <c r="A791" s="9"/>
      <c r="Z791">
        <f>TRIM(A791&amp;"")</f>
        <v/>
      </c>
      <c r="AA791">
        <f>IF(Z791="","",IF(MATCH(SUBSTITUTE(SUBSTITUTE(SUBSTITUTE(Z791,"~","~~"),"*","~*"),"?","~?"),$Z$5:$Z$5004,0)=787,MAX($AA$4:AA790)+1,""))</f>
        <v/>
      </c>
    </row>
    <row r="792" spans="1:27">
      <c r="A792" s="9"/>
      <c r="Z792">
        <f>TRIM(A792&amp;"")</f>
        <v/>
      </c>
      <c r="AA792">
        <f>IF(Z792="","",IF(MATCH(SUBSTITUTE(SUBSTITUTE(SUBSTITUTE(Z792,"~","~~"),"*","~*"),"?","~?"),$Z$5:$Z$5004,0)=788,MAX($AA$4:AA791)+1,""))</f>
        <v/>
      </c>
    </row>
    <row r="793" spans="1:27">
      <c r="A793" s="9"/>
      <c r="Z793">
        <f>TRIM(A793&amp;"")</f>
        <v/>
      </c>
      <c r="AA793">
        <f>IF(Z793="","",IF(MATCH(SUBSTITUTE(SUBSTITUTE(SUBSTITUTE(Z793,"~","~~"),"*","~*"),"?","~?"),$Z$5:$Z$5004,0)=789,MAX($AA$4:AA792)+1,""))</f>
        <v/>
      </c>
    </row>
    <row r="794" spans="1:27">
      <c r="A794" s="9"/>
      <c r="Z794">
        <f>TRIM(A794&amp;"")</f>
        <v/>
      </c>
      <c r="AA794">
        <f>IF(Z794="","",IF(MATCH(SUBSTITUTE(SUBSTITUTE(SUBSTITUTE(Z794,"~","~~"),"*","~*"),"?","~?"),$Z$5:$Z$5004,0)=790,MAX($AA$4:AA793)+1,""))</f>
        <v/>
      </c>
    </row>
    <row r="795" spans="1:27">
      <c r="A795" s="9"/>
      <c r="Z795">
        <f>TRIM(A795&amp;"")</f>
        <v/>
      </c>
      <c r="AA795">
        <f>IF(Z795="","",IF(MATCH(SUBSTITUTE(SUBSTITUTE(SUBSTITUTE(Z795,"~","~~"),"*","~*"),"?","~?"),$Z$5:$Z$5004,0)=791,MAX($AA$4:AA794)+1,""))</f>
        <v/>
      </c>
    </row>
    <row r="796" spans="1:27">
      <c r="A796" s="9"/>
      <c r="Z796">
        <f>TRIM(A796&amp;"")</f>
        <v/>
      </c>
      <c r="AA796">
        <f>IF(Z796="","",IF(MATCH(SUBSTITUTE(SUBSTITUTE(SUBSTITUTE(Z796,"~","~~"),"*","~*"),"?","~?"),$Z$5:$Z$5004,0)=792,MAX($AA$4:AA795)+1,""))</f>
        <v/>
      </c>
    </row>
    <row r="797" spans="1:27">
      <c r="A797" s="9"/>
      <c r="Z797">
        <f>TRIM(A797&amp;"")</f>
        <v/>
      </c>
      <c r="AA797">
        <f>IF(Z797="","",IF(MATCH(SUBSTITUTE(SUBSTITUTE(SUBSTITUTE(Z797,"~","~~"),"*","~*"),"?","~?"),$Z$5:$Z$5004,0)=793,MAX($AA$4:AA796)+1,""))</f>
        <v/>
      </c>
    </row>
    <row r="798" spans="1:27">
      <c r="A798" s="9"/>
      <c r="Z798">
        <f>TRIM(A798&amp;"")</f>
        <v/>
      </c>
      <c r="AA798">
        <f>IF(Z798="","",IF(MATCH(SUBSTITUTE(SUBSTITUTE(SUBSTITUTE(Z798,"~","~~"),"*","~*"),"?","~?"),$Z$5:$Z$5004,0)=794,MAX($AA$4:AA797)+1,""))</f>
        <v/>
      </c>
    </row>
    <row r="799" spans="1:27">
      <c r="A799" s="9"/>
      <c r="Z799">
        <f>TRIM(A799&amp;"")</f>
        <v/>
      </c>
      <c r="AA799">
        <f>IF(Z799="","",IF(MATCH(SUBSTITUTE(SUBSTITUTE(SUBSTITUTE(Z799,"~","~~"),"*","~*"),"?","~?"),$Z$5:$Z$5004,0)=795,MAX($AA$4:AA798)+1,""))</f>
        <v/>
      </c>
    </row>
    <row r="800" spans="1:27">
      <c r="A800" s="9"/>
      <c r="Z800">
        <f>TRIM(A800&amp;"")</f>
        <v/>
      </c>
      <c r="AA800">
        <f>IF(Z800="","",IF(MATCH(SUBSTITUTE(SUBSTITUTE(SUBSTITUTE(Z800,"~","~~"),"*","~*"),"?","~?"),$Z$5:$Z$5004,0)=796,MAX($AA$4:AA799)+1,""))</f>
        <v/>
      </c>
    </row>
    <row r="801" spans="1:27">
      <c r="A801" s="9"/>
      <c r="Z801">
        <f>TRIM(A801&amp;"")</f>
        <v/>
      </c>
      <c r="AA801">
        <f>IF(Z801="","",IF(MATCH(SUBSTITUTE(SUBSTITUTE(SUBSTITUTE(Z801,"~","~~"),"*","~*"),"?","~?"),$Z$5:$Z$5004,0)=797,MAX($AA$4:AA800)+1,""))</f>
        <v/>
      </c>
    </row>
    <row r="802" spans="1:27">
      <c r="A802" s="9"/>
      <c r="Z802">
        <f>TRIM(A802&amp;"")</f>
        <v/>
      </c>
      <c r="AA802">
        <f>IF(Z802="","",IF(MATCH(SUBSTITUTE(SUBSTITUTE(SUBSTITUTE(Z802,"~","~~"),"*","~*"),"?","~?"),$Z$5:$Z$5004,0)=798,MAX($AA$4:AA801)+1,""))</f>
        <v/>
      </c>
    </row>
    <row r="803" spans="1:27">
      <c r="A803" s="9"/>
      <c r="Z803">
        <f>TRIM(A803&amp;"")</f>
        <v/>
      </c>
      <c r="AA803">
        <f>IF(Z803="","",IF(MATCH(SUBSTITUTE(SUBSTITUTE(SUBSTITUTE(Z803,"~","~~"),"*","~*"),"?","~?"),$Z$5:$Z$5004,0)=799,MAX($AA$4:AA802)+1,""))</f>
        <v/>
      </c>
    </row>
    <row r="804" spans="1:27">
      <c r="A804" s="9"/>
      <c r="Z804">
        <f>TRIM(A804&amp;"")</f>
        <v/>
      </c>
      <c r="AA804">
        <f>IF(Z804="","",IF(MATCH(SUBSTITUTE(SUBSTITUTE(SUBSTITUTE(Z804,"~","~~"),"*","~*"),"?","~?"),$Z$5:$Z$5004,0)=800,MAX($AA$4:AA803)+1,""))</f>
        <v/>
      </c>
    </row>
    <row r="805" spans="1:27">
      <c r="A805" s="9"/>
      <c r="Z805">
        <f>TRIM(A805&amp;"")</f>
        <v/>
      </c>
      <c r="AA805">
        <f>IF(Z805="","",IF(MATCH(SUBSTITUTE(SUBSTITUTE(SUBSTITUTE(Z805,"~","~~"),"*","~*"),"?","~?"),$Z$5:$Z$5004,0)=801,MAX($AA$4:AA804)+1,""))</f>
        <v/>
      </c>
    </row>
    <row r="806" spans="1:27">
      <c r="A806" s="9"/>
      <c r="Z806">
        <f>TRIM(A806&amp;"")</f>
        <v/>
      </c>
      <c r="AA806">
        <f>IF(Z806="","",IF(MATCH(SUBSTITUTE(SUBSTITUTE(SUBSTITUTE(Z806,"~","~~"),"*","~*"),"?","~?"),$Z$5:$Z$5004,0)=802,MAX($AA$4:AA805)+1,""))</f>
        <v/>
      </c>
    </row>
    <row r="807" spans="1:27">
      <c r="A807" s="9"/>
      <c r="Z807">
        <f>TRIM(A807&amp;"")</f>
        <v/>
      </c>
      <c r="AA807">
        <f>IF(Z807="","",IF(MATCH(SUBSTITUTE(SUBSTITUTE(SUBSTITUTE(Z807,"~","~~"),"*","~*"),"?","~?"),$Z$5:$Z$5004,0)=803,MAX($AA$4:AA806)+1,""))</f>
        <v/>
      </c>
    </row>
    <row r="808" spans="1:27">
      <c r="A808" s="9"/>
      <c r="Z808">
        <f>TRIM(A808&amp;"")</f>
        <v/>
      </c>
      <c r="AA808">
        <f>IF(Z808="","",IF(MATCH(SUBSTITUTE(SUBSTITUTE(SUBSTITUTE(Z808,"~","~~"),"*","~*"),"?","~?"),$Z$5:$Z$5004,0)=804,MAX($AA$4:AA807)+1,""))</f>
        <v/>
      </c>
    </row>
    <row r="809" spans="1:27">
      <c r="A809" s="9"/>
      <c r="Z809">
        <f>TRIM(A809&amp;"")</f>
        <v/>
      </c>
      <c r="AA809">
        <f>IF(Z809="","",IF(MATCH(SUBSTITUTE(SUBSTITUTE(SUBSTITUTE(Z809,"~","~~"),"*","~*"),"?","~?"),$Z$5:$Z$5004,0)=805,MAX($AA$4:AA808)+1,""))</f>
        <v/>
      </c>
    </row>
    <row r="810" spans="1:27">
      <c r="A810" s="9"/>
      <c r="Z810">
        <f>TRIM(A810&amp;"")</f>
        <v/>
      </c>
      <c r="AA810">
        <f>IF(Z810="","",IF(MATCH(SUBSTITUTE(SUBSTITUTE(SUBSTITUTE(Z810,"~","~~"),"*","~*"),"?","~?"),$Z$5:$Z$5004,0)=806,MAX($AA$4:AA809)+1,""))</f>
        <v/>
      </c>
    </row>
    <row r="811" spans="1:27">
      <c r="A811" s="9"/>
      <c r="Z811">
        <f>TRIM(A811&amp;"")</f>
        <v/>
      </c>
      <c r="AA811">
        <f>IF(Z811="","",IF(MATCH(SUBSTITUTE(SUBSTITUTE(SUBSTITUTE(Z811,"~","~~"),"*","~*"),"?","~?"),$Z$5:$Z$5004,0)=807,MAX($AA$4:AA810)+1,""))</f>
        <v/>
      </c>
    </row>
    <row r="812" spans="1:27">
      <c r="A812" s="9"/>
      <c r="Z812">
        <f>TRIM(A812&amp;"")</f>
        <v/>
      </c>
      <c r="AA812">
        <f>IF(Z812="","",IF(MATCH(SUBSTITUTE(SUBSTITUTE(SUBSTITUTE(Z812,"~","~~"),"*","~*"),"?","~?"),$Z$5:$Z$5004,0)=808,MAX($AA$4:AA811)+1,""))</f>
        <v/>
      </c>
    </row>
    <row r="813" spans="1:27">
      <c r="A813" s="9"/>
      <c r="Z813">
        <f>TRIM(A813&amp;"")</f>
        <v/>
      </c>
      <c r="AA813">
        <f>IF(Z813="","",IF(MATCH(SUBSTITUTE(SUBSTITUTE(SUBSTITUTE(Z813,"~","~~"),"*","~*"),"?","~?"),$Z$5:$Z$5004,0)=809,MAX($AA$4:AA812)+1,""))</f>
        <v/>
      </c>
    </row>
    <row r="814" spans="1:27">
      <c r="A814" s="9"/>
      <c r="Z814">
        <f>TRIM(A814&amp;"")</f>
        <v/>
      </c>
      <c r="AA814">
        <f>IF(Z814="","",IF(MATCH(SUBSTITUTE(SUBSTITUTE(SUBSTITUTE(Z814,"~","~~"),"*","~*"),"?","~?"),$Z$5:$Z$5004,0)=810,MAX($AA$4:AA813)+1,""))</f>
        <v/>
      </c>
    </row>
    <row r="815" spans="1:27">
      <c r="A815" s="9"/>
      <c r="Z815">
        <f>TRIM(A815&amp;"")</f>
        <v/>
      </c>
      <c r="AA815">
        <f>IF(Z815="","",IF(MATCH(SUBSTITUTE(SUBSTITUTE(SUBSTITUTE(Z815,"~","~~"),"*","~*"),"?","~?"),$Z$5:$Z$5004,0)=811,MAX($AA$4:AA814)+1,""))</f>
        <v/>
      </c>
    </row>
    <row r="816" spans="1:27">
      <c r="A816" s="9"/>
      <c r="Z816">
        <f>TRIM(A816&amp;"")</f>
        <v/>
      </c>
      <c r="AA816">
        <f>IF(Z816="","",IF(MATCH(SUBSTITUTE(SUBSTITUTE(SUBSTITUTE(Z816,"~","~~"),"*","~*"),"?","~?"),$Z$5:$Z$5004,0)=812,MAX($AA$4:AA815)+1,""))</f>
        <v/>
      </c>
    </row>
    <row r="817" spans="1:27">
      <c r="A817" s="9"/>
      <c r="Z817">
        <f>TRIM(A817&amp;"")</f>
        <v/>
      </c>
      <c r="AA817">
        <f>IF(Z817="","",IF(MATCH(SUBSTITUTE(SUBSTITUTE(SUBSTITUTE(Z817,"~","~~"),"*","~*"),"?","~?"),$Z$5:$Z$5004,0)=813,MAX($AA$4:AA816)+1,""))</f>
        <v/>
      </c>
    </row>
    <row r="818" spans="1:27">
      <c r="A818" s="9"/>
      <c r="Z818">
        <f>TRIM(A818&amp;"")</f>
        <v/>
      </c>
      <c r="AA818">
        <f>IF(Z818="","",IF(MATCH(SUBSTITUTE(SUBSTITUTE(SUBSTITUTE(Z818,"~","~~"),"*","~*"),"?","~?"),$Z$5:$Z$5004,0)=814,MAX($AA$4:AA817)+1,""))</f>
        <v/>
      </c>
    </row>
    <row r="819" spans="1:27">
      <c r="A819" s="9"/>
      <c r="Z819">
        <f>TRIM(A819&amp;"")</f>
        <v/>
      </c>
      <c r="AA819">
        <f>IF(Z819="","",IF(MATCH(SUBSTITUTE(SUBSTITUTE(SUBSTITUTE(Z819,"~","~~"),"*","~*"),"?","~?"),$Z$5:$Z$5004,0)=815,MAX($AA$4:AA818)+1,""))</f>
        <v/>
      </c>
    </row>
    <row r="820" spans="1:27">
      <c r="A820" s="9"/>
      <c r="Z820">
        <f>TRIM(A820&amp;"")</f>
        <v/>
      </c>
      <c r="AA820">
        <f>IF(Z820="","",IF(MATCH(SUBSTITUTE(SUBSTITUTE(SUBSTITUTE(Z820,"~","~~"),"*","~*"),"?","~?"),$Z$5:$Z$5004,0)=816,MAX($AA$4:AA819)+1,""))</f>
        <v/>
      </c>
    </row>
    <row r="821" spans="1:27">
      <c r="A821" s="9"/>
      <c r="Z821">
        <f>TRIM(A821&amp;"")</f>
        <v/>
      </c>
      <c r="AA821">
        <f>IF(Z821="","",IF(MATCH(SUBSTITUTE(SUBSTITUTE(SUBSTITUTE(Z821,"~","~~"),"*","~*"),"?","~?"),$Z$5:$Z$5004,0)=817,MAX($AA$4:AA820)+1,""))</f>
        <v/>
      </c>
    </row>
    <row r="822" spans="1:27">
      <c r="A822" s="9"/>
      <c r="Z822">
        <f>TRIM(A822&amp;"")</f>
        <v/>
      </c>
      <c r="AA822">
        <f>IF(Z822="","",IF(MATCH(SUBSTITUTE(SUBSTITUTE(SUBSTITUTE(Z822,"~","~~"),"*","~*"),"?","~?"),$Z$5:$Z$5004,0)=818,MAX($AA$4:AA821)+1,""))</f>
        <v/>
      </c>
    </row>
    <row r="823" spans="1:27">
      <c r="A823" s="9"/>
      <c r="Z823">
        <f>TRIM(A823&amp;"")</f>
        <v/>
      </c>
      <c r="AA823">
        <f>IF(Z823="","",IF(MATCH(SUBSTITUTE(SUBSTITUTE(SUBSTITUTE(Z823,"~","~~"),"*","~*"),"?","~?"),$Z$5:$Z$5004,0)=819,MAX($AA$4:AA822)+1,""))</f>
        <v/>
      </c>
    </row>
    <row r="824" spans="1:27">
      <c r="A824" s="9"/>
      <c r="Z824">
        <f>TRIM(A824&amp;"")</f>
        <v/>
      </c>
      <c r="AA824">
        <f>IF(Z824="","",IF(MATCH(SUBSTITUTE(SUBSTITUTE(SUBSTITUTE(Z824,"~","~~"),"*","~*"),"?","~?"),$Z$5:$Z$5004,0)=820,MAX($AA$4:AA823)+1,""))</f>
        <v/>
      </c>
    </row>
    <row r="825" spans="1:27">
      <c r="A825" s="9"/>
      <c r="Z825">
        <f>TRIM(A825&amp;"")</f>
        <v/>
      </c>
      <c r="AA825">
        <f>IF(Z825="","",IF(MATCH(SUBSTITUTE(SUBSTITUTE(SUBSTITUTE(Z825,"~","~~"),"*","~*"),"?","~?"),$Z$5:$Z$5004,0)=821,MAX($AA$4:AA824)+1,""))</f>
        <v/>
      </c>
    </row>
    <row r="826" spans="1:27">
      <c r="A826" s="9"/>
      <c r="Z826">
        <f>TRIM(A826&amp;"")</f>
        <v/>
      </c>
      <c r="AA826">
        <f>IF(Z826="","",IF(MATCH(SUBSTITUTE(SUBSTITUTE(SUBSTITUTE(Z826,"~","~~"),"*","~*"),"?","~?"),$Z$5:$Z$5004,0)=822,MAX($AA$4:AA825)+1,""))</f>
        <v/>
      </c>
    </row>
    <row r="827" spans="1:27">
      <c r="A827" s="9"/>
      <c r="Z827">
        <f>TRIM(A827&amp;"")</f>
        <v/>
      </c>
      <c r="AA827">
        <f>IF(Z827="","",IF(MATCH(SUBSTITUTE(SUBSTITUTE(SUBSTITUTE(Z827,"~","~~"),"*","~*"),"?","~?"),$Z$5:$Z$5004,0)=823,MAX($AA$4:AA826)+1,""))</f>
        <v/>
      </c>
    </row>
    <row r="828" spans="1:27">
      <c r="A828" s="9"/>
      <c r="Z828">
        <f>TRIM(A828&amp;"")</f>
        <v/>
      </c>
      <c r="AA828">
        <f>IF(Z828="","",IF(MATCH(SUBSTITUTE(SUBSTITUTE(SUBSTITUTE(Z828,"~","~~"),"*","~*"),"?","~?"),$Z$5:$Z$5004,0)=824,MAX($AA$4:AA827)+1,""))</f>
        <v/>
      </c>
    </row>
    <row r="829" spans="1:27">
      <c r="A829" s="9"/>
      <c r="Z829">
        <f>TRIM(A829&amp;"")</f>
        <v/>
      </c>
      <c r="AA829">
        <f>IF(Z829="","",IF(MATCH(SUBSTITUTE(SUBSTITUTE(SUBSTITUTE(Z829,"~","~~"),"*","~*"),"?","~?"),$Z$5:$Z$5004,0)=825,MAX($AA$4:AA828)+1,""))</f>
        <v/>
      </c>
    </row>
    <row r="830" spans="1:27">
      <c r="A830" s="9"/>
      <c r="Z830">
        <f>TRIM(A830&amp;"")</f>
        <v/>
      </c>
      <c r="AA830">
        <f>IF(Z830="","",IF(MATCH(SUBSTITUTE(SUBSTITUTE(SUBSTITUTE(Z830,"~","~~"),"*","~*"),"?","~?"),$Z$5:$Z$5004,0)=826,MAX($AA$4:AA829)+1,""))</f>
        <v/>
      </c>
    </row>
    <row r="831" spans="1:27">
      <c r="A831" s="9"/>
      <c r="Z831">
        <f>TRIM(A831&amp;"")</f>
        <v/>
      </c>
      <c r="AA831">
        <f>IF(Z831="","",IF(MATCH(SUBSTITUTE(SUBSTITUTE(SUBSTITUTE(Z831,"~","~~"),"*","~*"),"?","~?"),$Z$5:$Z$5004,0)=827,MAX($AA$4:AA830)+1,""))</f>
        <v/>
      </c>
    </row>
    <row r="832" spans="1:27">
      <c r="A832" s="9"/>
      <c r="Z832">
        <f>TRIM(A832&amp;"")</f>
        <v/>
      </c>
      <c r="AA832">
        <f>IF(Z832="","",IF(MATCH(SUBSTITUTE(SUBSTITUTE(SUBSTITUTE(Z832,"~","~~"),"*","~*"),"?","~?"),$Z$5:$Z$5004,0)=828,MAX($AA$4:AA831)+1,""))</f>
        <v/>
      </c>
    </row>
    <row r="833" spans="1:27">
      <c r="A833" s="9"/>
      <c r="Z833">
        <f>TRIM(A833&amp;"")</f>
        <v/>
      </c>
      <c r="AA833">
        <f>IF(Z833="","",IF(MATCH(SUBSTITUTE(SUBSTITUTE(SUBSTITUTE(Z833,"~","~~"),"*","~*"),"?","~?"),$Z$5:$Z$5004,0)=829,MAX($AA$4:AA832)+1,""))</f>
        <v/>
      </c>
    </row>
    <row r="834" spans="1:27">
      <c r="A834" s="9"/>
      <c r="Z834">
        <f>TRIM(A834&amp;"")</f>
        <v/>
      </c>
      <c r="AA834">
        <f>IF(Z834="","",IF(MATCH(SUBSTITUTE(SUBSTITUTE(SUBSTITUTE(Z834,"~","~~"),"*","~*"),"?","~?"),$Z$5:$Z$5004,0)=830,MAX($AA$4:AA833)+1,""))</f>
        <v/>
      </c>
    </row>
    <row r="835" spans="1:27">
      <c r="A835" s="9"/>
      <c r="Z835">
        <f>TRIM(A835&amp;"")</f>
        <v/>
      </c>
      <c r="AA835">
        <f>IF(Z835="","",IF(MATCH(SUBSTITUTE(SUBSTITUTE(SUBSTITUTE(Z835,"~","~~"),"*","~*"),"?","~?"),$Z$5:$Z$5004,0)=831,MAX($AA$4:AA834)+1,""))</f>
        <v/>
      </c>
    </row>
    <row r="836" spans="1:27">
      <c r="A836" s="9"/>
      <c r="Z836">
        <f>TRIM(A836&amp;"")</f>
        <v/>
      </c>
      <c r="AA836">
        <f>IF(Z836="","",IF(MATCH(SUBSTITUTE(SUBSTITUTE(SUBSTITUTE(Z836,"~","~~"),"*","~*"),"?","~?"),$Z$5:$Z$5004,0)=832,MAX($AA$4:AA835)+1,""))</f>
        <v/>
      </c>
    </row>
    <row r="837" spans="1:27">
      <c r="A837" s="9"/>
      <c r="Z837">
        <f>TRIM(A837&amp;"")</f>
        <v/>
      </c>
      <c r="AA837">
        <f>IF(Z837="","",IF(MATCH(SUBSTITUTE(SUBSTITUTE(SUBSTITUTE(Z837,"~","~~"),"*","~*"),"?","~?"),$Z$5:$Z$5004,0)=833,MAX($AA$4:AA836)+1,""))</f>
        <v/>
      </c>
    </row>
    <row r="838" spans="1:27">
      <c r="A838" s="9"/>
      <c r="Z838">
        <f>TRIM(A838&amp;"")</f>
        <v/>
      </c>
      <c r="AA838">
        <f>IF(Z838="","",IF(MATCH(SUBSTITUTE(SUBSTITUTE(SUBSTITUTE(Z838,"~","~~"),"*","~*"),"?","~?"),$Z$5:$Z$5004,0)=834,MAX($AA$4:AA837)+1,""))</f>
        <v/>
      </c>
    </row>
    <row r="839" spans="1:27">
      <c r="A839" s="9"/>
      <c r="Z839">
        <f>TRIM(A839&amp;"")</f>
        <v/>
      </c>
      <c r="AA839">
        <f>IF(Z839="","",IF(MATCH(SUBSTITUTE(SUBSTITUTE(SUBSTITUTE(Z839,"~","~~"),"*","~*"),"?","~?"),$Z$5:$Z$5004,0)=835,MAX($AA$4:AA838)+1,""))</f>
        <v/>
      </c>
    </row>
    <row r="840" spans="1:27">
      <c r="A840" s="9"/>
      <c r="Z840">
        <f>TRIM(A840&amp;"")</f>
        <v/>
      </c>
      <c r="AA840">
        <f>IF(Z840="","",IF(MATCH(SUBSTITUTE(SUBSTITUTE(SUBSTITUTE(Z840,"~","~~"),"*","~*"),"?","~?"),$Z$5:$Z$5004,0)=836,MAX($AA$4:AA839)+1,""))</f>
        <v/>
      </c>
    </row>
    <row r="841" spans="1:27">
      <c r="A841" s="9"/>
      <c r="Z841">
        <f>TRIM(A841&amp;"")</f>
        <v/>
      </c>
      <c r="AA841">
        <f>IF(Z841="","",IF(MATCH(SUBSTITUTE(SUBSTITUTE(SUBSTITUTE(Z841,"~","~~"),"*","~*"),"?","~?"),$Z$5:$Z$5004,0)=837,MAX($AA$4:AA840)+1,""))</f>
        <v/>
      </c>
    </row>
    <row r="842" spans="1:27">
      <c r="A842" s="9"/>
      <c r="Z842">
        <f>TRIM(A842&amp;"")</f>
        <v/>
      </c>
      <c r="AA842">
        <f>IF(Z842="","",IF(MATCH(SUBSTITUTE(SUBSTITUTE(SUBSTITUTE(Z842,"~","~~"),"*","~*"),"?","~?"),$Z$5:$Z$5004,0)=838,MAX($AA$4:AA841)+1,""))</f>
        <v/>
      </c>
    </row>
    <row r="843" spans="1:27">
      <c r="A843" s="9"/>
      <c r="Z843">
        <f>TRIM(A843&amp;"")</f>
        <v/>
      </c>
      <c r="AA843">
        <f>IF(Z843="","",IF(MATCH(SUBSTITUTE(SUBSTITUTE(SUBSTITUTE(Z843,"~","~~"),"*","~*"),"?","~?"),$Z$5:$Z$5004,0)=839,MAX($AA$4:AA842)+1,""))</f>
        <v/>
      </c>
    </row>
    <row r="844" spans="1:27">
      <c r="A844" s="9"/>
      <c r="Z844">
        <f>TRIM(A844&amp;"")</f>
        <v/>
      </c>
      <c r="AA844">
        <f>IF(Z844="","",IF(MATCH(SUBSTITUTE(SUBSTITUTE(SUBSTITUTE(Z844,"~","~~"),"*","~*"),"?","~?"),$Z$5:$Z$5004,0)=840,MAX($AA$4:AA843)+1,""))</f>
        <v/>
      </c>
    </row>
    <row r="845" spans="1:27">
      <c r="A845" s="9"/>
      <c r="Z845">
        <f>TRIM(A845&amp;"")</f>
        <v/>
      </c>
      <c r="AA845">
        <f>IF(Z845="","",IF(MATCH(SUBSTITUTE(SUBSTITUTE(SUBSTITUTE(Z845,"~","~~"),"*","~*"),"?","~?"),$Z$5:$Z$5004,0)=841,MAX($AA$4:AA844)+1,""))</f>
        <v/>
      </c>
    </row>
    <row r="846" spans="1:27">
      <c r="A846" s="9"/>
      <c r="Z846">
        <f>TRIM(A846&amp;"")</f>
        <v/>
      </c>
      <c r="AA846">
        <f>IF(Z846="","",IF(MATCH(SUBSTITUTE(SUBSTITUTE(SUBSTITUTE(Z846,"~","~~"),"*","~*"),"?","~?"),$Z$5:$Z$5004,0)=842,MAX($AA$4:AA845)+1,""))</f>
        <v/>
      </c>
    </row>
    <row r="847" spans="1:27">
      <c r="A847" s="9"/>
      <c r="Z847">
        <f>TRIM(A847&amp;"")</f>
        <v/>
      </c>
      <c r="AA847">
        <f>IF(Z847="","",IF(MATCH(SUBSTITUTE(SUBSTITUTE(SUBSTITUTE(Z847,"~","~~"),"*","~*"),"?","~?"),$Z$5:$Z$5004,0)=843,MAX($AA$4:AA846)+1,""))</f>
        <v/>
      </c>
    </row>
    <row r="848" spans="1:27">
      <c r="A848" s="9"/>
      <c r="Z848">
        <f>TRIM(A848&amp;"")</f>
        <v/>
      </c>
      <c r="AA848">
        <f>IF(Z848="","",IF(MATCH(SUBSTITUTE(SUBSTITUTE(SUBSTITUTE(Z848,"~","~~"),"*","~*"),"?","~?"),$Z$5:$Z$5004,0)=844,MAX($AA$4:AA847)+1,""))</f>
        <v/>
      </c>
    </row>
    <row r="849" spans="1:27">
      <c r="A849" s="9"/>
      <c r="Z849">
        <f>TRIM(A849&amp;"")</f>
        <v/>
      </c>
      <c r="AA849">
        <f>IF(Z849="","",IF(MATCH(SUBSTITUTE(SUBSTITUTE(SUBSTITUTE(Z849,"~","~~"),"*","~*"),"?","~?"),$Z$5:$Z$5004,0)=845,MAX($AA$4:AA848)+1,""))</f>
        <v/>
      </c>
    </row>
    <row r="850" spans="1:27">
      <c r="A850" s="9"/>
      <c r="Z850">
        <f>TRIM(A850&amp;"")</f>
        <v/>
      </c>
      <c r="AA850">
        <f>IF(Z850="","",IF(MATCH(SUBSTITUTE(SUBSTITUTE(SUBSTITUTE(Z850,"~","~~"),"*","~*"),"?","~?"),$Z$5:$Z$5004,0)=846,MAX($AA$4:AA849)+1,""))</f>
        <v/>
      </c>
    </row>
    <row r="851" spans="1:27">
      <c r="A851" s="9"/>
      <c r="Z851">
        <f>TRIM(A851&amp;"")</f>
        <v/>
      </c>
      <c r="AA851">
        <f>IF(Z851="","",IF(MATCH(SUBSTITUTE(SUBSTITUTE(SUBSTITUTE(Z851,"~","~~"),"*","~*"),"?","~?"),$Z$5:$Z$5004,0)=847,MAX($AA$4:AA850)+1,""))</f>
        <v/>
      </c>
    </row>
    <row r="852" spans="1:27">
      <c r="A852" s="9"/>
      <c r="Z852">
        <f>TRIM(A852&amp;"")</f>
        <v/>
      </c>
      <c r="AA852">
        <f>IF(Z852="","",IF(MATCH(SUBSTITUTE(SUBSTITUTE(SUBSTITUTE(Z852,"~","~~"),"*","~*"),"?","~?"),$Z$5:$Z$5004,0)=848,MAX($AA$4:AA851)+1,""))</f>
        <v/>
      </c>
    </row>
    <row r="853" spans="1:27">
      <c r="A853" s="9"/>
      <c r="Z853">
        <f>TRIM(A853&amp;"")</f>
        <v/>
      </c>
      <c r="AA853">
        <f>IF(Z853="","",IF(MATCH(SUBSTITUTE(SUBSTITUTE(SUBSTITUTE(Z853,"~","~~"),"*","~*"),"?","~?"),$Z$5:$Z$5004,0)=849,MAX($AA$4:AA852)+1,""))</f>
        <v/>
      </c>
    </row>
    <row r="854" spans="1:27">
      <c r="A854" s="9"/>
      <c r="Z854">
        <f>TRIM(A854&amp;"")</f>
        <v/>
      </c>
      <c r="AA854">
        <f>IF(Z854="","",IF(MATCH(SUBSTITUTE(SUBSTITUTE(SUBSTITUTE(Z854,"~","~~"),"*","~*"),"?","~?"),$Z$5:$Z$5004,0)=850,MAX($AA$4:AA853)+1,""))</f>
        <v/>
      </c>
    </row>
    <row r="855" spans="1:27">
      <c r="A855" s="9"/>
      <c r="Z855">
        <f>TRIM(A855&amp;"")</f>
        <v/>
      </c>
      <c r="AA855">
        <f>IF(Z855="","",IF(MATCH(SUBSTITUTE(SUBSTITUTE(SUBSTITUTE(Z855,"~","~~"),"*","~*"),"?","~?"),$Z$5:$Z$5004,0)=851,MAX($AA$4:AA854)+1,""))</f>
        <v/>
      </c>
    </row>
    <row r="856" spans="1:27">
      <c r="A856" s="9"/>
      <c r="Z856">
        <f>TRIM(A856&amp;"")</f>
        <v/>
      </c>
      <c r="AA856">
        <f>IF(Z856="","",IF(MATCH(SUBSTITUTE(SUBSTITUTE(SUBSTITUTE(Z856,"~","~~"),"*","~*"),"?","~?"),$Z$5:$Z$5004,0)=852,MAX($AA$4:AA855)+1,""))</f>
        <v/>
      </c>
    </row>
    <row r="857" spans="1:27">
      <c r="A857" s="9"/>
      <c r="Z857">
        <f>TRIM(A857&amp;"")</f>
        <v/>
      </c>
      <c r="AA857">
        <f>IF(Z857="","",IF(MATCH(SUBSTITUTE(SUBSTITUTE(SUBSTITUTE(Z857,"~","~~"),"*","~*"),"?","~?"),$Z$5:$Z$5004,0)=853,MAX($AA$4:AA856)+1,""))</f>
        <v/>
      </c>
    </row>
    <row r="858" spans="1:27">
      <c r="A858" s="9"/>
      <c r="Z858">
        <f>TRIM(A858&amp;"")</f>
        <v/>
      </c>
      <c r="AA858">
        <f>IF(Z858="","",IF(MATCH(SUBSTITUTE(SUBSTITUTE(SUBSTITUTE(Z858,"~","~~"),"*","~*"),"?","~?"),$Z$5:$Z$5004,0)=854,MAX($AA$4:AA857)+1,""))</f>
        <v/>
      </c>
    </row>
    <row r="859" spans="1:27">
      <c r="A859" s="9"/>
      <c r="Z859">
        <f>TRIM(A859&amp;"")</f>
        <v/>
      </c>
      <c r="AA859">
        <f>IF(Z859="","",IF(MATCH(SUBSTITUTE(SUBSTITUTE(SUBSTITUTE(Z859,"~","~~"),"*","~*"),"?","~?"),$Z$5:$Z$5004,0)=855,MAX($AA$4:AA858)+1,""))</f>
        <v/>
      </c>
    </row>
    <row r="860" spans="1:27">
      <c r="A860" s="9"/>
      <c r="Z860">
        <f>TRIM(A860&amp;"")</f>
        <v/>
      </c>
      <c r="AA860">
        <f>IF(Z860="","",IF(MATCH(SUBSTITUTE(SUBSTITUTE(SUBSTITUTE(Z860,"~","~~"),"*","~*"),"?","~?"),$Z$5:$Z$5004,0)=856,MAX($AA$4:AA859)+1,""))</f>
        <v/>
      </c>
    </row>
    <row r="861" spans="1:27">
      <c r="A861" s="9"/>
      <c r="Z861">
        <f>TRIM(A861&amp;"")</f>
        <v/>
      </c>
      <c r="AA861">
        <f>IF(Z861="","",IF(MATCH(SUBSTITUTE(SUBSTITUTE(SUBSTITUTE(Z861,"~","~~"),"*","~*"),"?","~?"),$Z$5:$Z$5004,0)=857,MAX($AA$4:AA860)+1,""))</f>
        <v/>
      </c>
    </row>
    <row r="862" spans="1:27">
      <c r="A862" s="9"/>
      <c r="Z862">
        <f>TRIM(A862&amp;"")</f>
        <v/>
      </c>
      <c r="AA862">
        <f>IF(Z862="","",IF(MATCH(SUBSTITUTE(SUBSTITUTE(SUBSTITUTE(Z862,"~","~~"),"*","~*"),"?","~?"),$Z$5:$Z$5004,0)=858,MAX($AA$4:AA861)+1,""))</f>
        <v/>
      </c>
    </row>
    <row r="863" spans="1:27">
      <c r="A863" s="9"/>
      <c r="Z863">
        <f>TRIM(A863&amp;"")</f>
        <v/>
      </c>
      <c r="AA863">
        <f>IF(Z863="","",IF(MATCH(SUBSTITUTE(SUBSTITUTE(SUBSTITUTE(Z863,"~","~~"),"*","~*"),"?","~?"),$Z$5:$Z$5004,0)=859,MAX($AA$4:AA862)+1,""))</f>
        <v/>
      </c>
    </row>
    <row r="864" spans="1:27">
      <c r="A864" s="9"/>
      <c r="Z864">
        <f>TRIM(A864&amp;"")</f>
        <v/>
      </c>
      <c r="AA864">
        <f>IF(Z864="","",IF(MATCH(SUBSTITUTE(SUBSTITUTE(SUBSTITUTE(Z864,"~","~~"),"*","~*"),"?","~?"),$Z$5:$Z$5004,0)=860,MAX($AA$4:AA863)+1,""))</f>
        <v/>
      </c>
    </row>
    <row r="865" spans="1:27">
      <c r="A865" s="9"/>
      <c r="Z865">
        <f>TRIM(A865&amp;"")</f>
        <v/>
      </c>
      <c r="AA865">
        <f>IF(Z865="","",IF(MATCH(SUBSTITUTE(SUBSTITUTE(SUBSTITUTE(Z865,"~","~~"),"*","~*"),"?","~?"),$Z$5:$Z$5004,0)=861,MAX($AA$4:AA864)+1,""))</f>
        <v/>
      </c>
    </row>
    <row r="866" spans="1:27">
      <c r="A866" s="9"/>
      <c r="Z866">
        <f>TRIM(A866&amp;"")</f>
        <v/>
      </c>
      <c r="AA866">
        <f>IF(Z866="","",IF(MATCH(SUBSTITUTE(SUBSTITUTE(SUBSTITUTE(Z866,"~","~~"),"*","~*"),"?","~?"),$Z$5:$Z$5004,0)=862,MAX($AA$4:AA865)+1,""))</f>
        <v/>
      </c>
    </row>
    <row r="867" spans="1:27">
      <c r="A867" s="9"/>
      <c r="Z867">
        <f>TRIM(A867&amp;"")</f>
        <v/>
      </c>
      <c r="AA867">
        <f>IF(Z867="","",IF(MATCH(SUBSTITUTE(SUBSTITUTE(SUBSTITUTE(Z867,"~","~~"),"*","~*"),"?","~?"),$Z$5:$Z$5004,0)=863,MAX($AA$4:AA866)+1,""))</f>
        <v/>
      </c>
    </row>
    <row r="868" spans="1:27">
      <c r="A868" s="9"/>
      <c r="Z868">
        <f>TRIM(A868&amp;"")</f>
        <v/>
      </c>
      <c r="AA868">
        <f>IF(Z868="","",IF(MATCH(SUBSTITUTE(SUBSTITUTE(SUBSTITUTE(Z868,"~","~~"),"*","~*"),"?","~?"),$Z$5:$Z$5004,0)=864,MAX($AA$4:AA867)+1,""))</f>
        <v/>
      </c>
    </row>
    <row r="869" spans="1:27">
      <c r="A869" s="9"/>
      <c r="Z869">
        <f>TRIM(A869&amp;"")</f>
        <v/>
      </c>
      <c r="AA869">
        <f>IF(Z869="","",IF(MATCH(SUBSTITUTE(SUBSTITUTE(SUBSTITUTE(Z869,"~","~~"),"*","~*"),"?","~?"),$Z$5:$Z$5004,0)=865,MAX($AA$4:AA868)+1,""))</f>
        <v/>
      </c>
    </row>
    <row r="870" spans="1:27">
      <c r="A870" s="9"/>
      <c r="Z870">
        <f>TRIM(A870&amp;"")</f>
        <v/>
      </c>
      <c r="AA870">
        <f>IF(Z870="","",IF(MATCH(SUBSTITUTE(SUBSTITUTE(SUBSTITUTE(Z870,"~","~~"),"*","~*"),"?","~?"),$Z$5:$Z$5004,0)=866,MAX($AA$4:AA869)+1,""))</f>
        <v/>
      </c>
    </row>
    <row r="871" spans="1:27">
      <c r="A871" s="9"/>
      <c r="Z871">
        <f>TRIM(A871&amp;"")</f>
        <v/>
      </c>
      <c r="AA871">
        <f>IF(Z871="","",IF(MATCH(SUBSTITUTE(SUBSTITUTE(SUBSTITUTE(Z871,"~","~~"),"*","~*"),"?","~?"),$Z$5:$Z$5004,0)=867,MAX($AA$4:AA870)+1,""))</f>
        <v/>
      </c>
    </row>
    <row r="872" spans="1:27">
      <c r="A872" s="9"/>
      <c r="Z872">
        <f>TRIM(A872&amp;"")</f>
        <v/>
      </c>
      <c r="AA872">
        <f>IF(Z872="","",IF(MATCH(SUBSTITUTE(SUBSTITUTE(SUBSTITUTE(Z872,"~","~~"),"*","~*"),"?","~?"),$Z$5:$Z$5004,0)=868,MAX($AA$4:AA871)+1,""))</f>
        <v/>
      </c>
    </row>
    <row r="873" spans="1:27">
      <c r="A873" s="9"/>
      <c r="Z873">
        <f>TRIM(A873&amp;"")</f>
        <v/>
      </c>
      <c r="AA873">
        <f>IF(Z873="","",IF(MATCH(SUBSTITUTE(SUBSTITUTE(SUBSTITUTE(Z873,"~","~~"),"*","~*"),"?","~?"),$Z$5:$Z$5004,0)=869,MAX($AA$4:AA872)+1,""))</f>
        <v/>
      </c>
    </row>
    <row r="874" spans="1:27">
      <c r="A874" s="9"/>
      <c r="Z874">
        <f>TRIM(A874&amp;"")</f>
        <v/>
      </c>
      <c r="AA874">
        <f>IF(Z874="","",IF(MATCH(SUBSTITUTE(SUBSTITUTE(SUBSTITUTE(Z874,"~","~~"),"*","~*"),"?","~?"),$Z$5:$Z$5004,0)=870,MAX($AA$4:AA873)+1,""))</f>
        <v/>
      </c>
    </row>
    <row r="875" spans="1:27">
      <c r="A875" s="9"/>
      <c r="Z875">
        <f>TRIM(A875&amp;"")</f>
        <v/>
      </c>
      <c r="AA875">
        <f>IF(Z875="","",IF(MATCH(SUBSTITUTE(SUBSTITUTE(SUBSTITUTE(Z875,"~","~~"),"*","~*"),"?","~?"),$Z$5:$Z$5004,0)=871,MAX($AA$4:AA874)+1,""))</f>
        <v/>
      </c>
    </row>
    <row r="876" spans="1:27">
      <c r="A876" s="9"/>
      <c r="Z876">
        <f>TRIM(A876&amp;"")</f>
        <v/>
      </c>
      <c r="AA876">
        <f>IF(Z876="","",IF(MATCH(SUBSTITUTE(SUBSTITUTE(SUBSTITUTE(Z876,"~","~~"),"*","~*"),"?","~?"),$Z$5:$Z$5004,0)=872,MAX($AA$4:AA875)+1,""))</f>
        <v/>
      </c>
    </row>
    <row r="877" spans="1:27">
      <c r="A877" s="9"/>
      <c r="Z877">
        <f>TRIM(A877&amp;"")</f>
        <v/>
      </c>
      <c r="AA877">
        <f>IF(Z877="","",IF(MATCH(SUBSTITUTE(SUBSTITUTE(SUBSTITUTE(Z877,"~","~~"),"*","~*"),"?","~?"),$Z$5:$Z$5004,0)=873,MAX($AA$4:AA876)+1,""))</f>
        <v/>
      </c>
    </row>
    <row r="878" spans="1:27">
      <c r="A878" s="9"/>
      <c r="Z878">
        <f>TRIM(A878&amp;"")</f>
        <v/>
      </c>
      <c r="AA878">
        <f>IF(Z878="","",IF(MATCH(SUBSTITUTE(SUBSTITUTE(SUBSTITUTE(Z878,"~","~~"),"*","~*"),"?","~?"),$Z$5:$Z$5004,0)=874,MAX($AA$4:AA877)+1,""))</f>
        <v/>
      </c>
    </row>
    <row r="879" spans="1:27">
      <c r="A879" s="9"/>
      <c r="Z879">
        <f>TRIM(A879&amp;"")</f>
        <v/>
      </c>
      <c r="AA879">
        <f>IF(Z879="","",IF(MATCH(SUBSTITUTE(SUBSTITUTE(SUBSTITUTE(Z879,"~","~~"),"*","~*"),"?","~?"),$Z$5:$Z$5004,0)=875,MAX($AA$4:AA878)+1,""))</f>
        <v/>
      </c>
    </row>
    <row r="880" spans="1:27">
      <c r="A880" s="9"/>
      <c r="Z880">
        <f>TRIM(A880&amp;"")</f>
        <v/>
      </c>
      <c r="AA880">
        <f>IF(Z880="","",IF(MATCH(SUBSTITUTE(SUBSTITUTE(SUBSTITUTE(Z880,"~","~~"),"*","~*"),"?","~?"),$Z$5:$Z$5004,0)=876,MAX($AA$4:AA879)+1,""))</f>
        <v/>
      </c>
    </row>
    <row r="881" spans="1:27">
      <c r="A881" s="9"/>
      <c r="Z881">
        <f>TRIM(A881&amp;"")</f>
        <v/>
      </c>
      <c r="AA881">
        <f>IF(Z881="","",IF(MATCH(SUBSTITUTE(SUBSTITUTE(SUBSTITUTE(Z881,"~","~~"),"*","~*"),"?","~?"),$Z$5:$Z$5004,0)=877,MAX($AA$4:AA880)+1,""))</f>
        <v/>
      </c>
    </row>
    <row r="882" spans="1:27">
      <c r="A882" s="9"/>
      <c r="Z882">
        <f>TRIM(A882&amp;"")</f>
        <v/>
      </c>
      <c r="AA882">
        <f>IF(Z882="","",IF(MATCH(SUBSTITUTE(SUBSTITUTE(SUBSTITUTE(Z882,"~","~~"),"*","~*"),"?","~?"),$Z$5:$Z$5004,0)=878,MAX($AA$4:AA881)+1,""))</f>
        <v/>
      </c>
    </row>
    <row r="883" spans="1:27">
      <c r="A883" s="9"/>
      <c r="Z883">
        <f>TRIM(A883&amp;"")</f>
        <v/>
      </c>
      <c r="AA883">
        <f>IF(Z883="","",IF(MATCH(SUBSTITUTE(SUBSTITUTE(SUBSTITUTE(Z883,"~","~~"),"*","~*"),"?","~?"),$Z$5:$Z$5004,0)=879,MAX($AA$4:AA882)+1,""))</f>
        <v/>
      </c>
    </row>
    <row r="884" spans="1:27">
      <c r="A884" s="9"/>
      <c r="Z884">
        <f>TRIM(A884&amp;"")</f>
        <v/>
      </c>
      <c r="AA884">
        <f>IF(Z884="","",IF(MATCH(SUBSTITUTE(SUBSTITUTE(SUBSTITUTE(Z884,"~","~~"),"*","~*"),"?","~?"),$Z$5:$Z$5004,0)=880,MAX($AA$4:AA883)+1,""))</f>
        <v/>
      </c>
    </row>
    <row r="885" spans="1:27">
      <c r="A885" s="9"/>
      <c r="Z885">
        <f>TRIM(A885&amp;"")</f>
        <v/>
      </c>
      <c r="AA885">
        <f>IF(Z885="","",IF(MATCH(SUBSTITUTE(SUBSTITUTE(SUBSTITUTE(Z885,"~","~~"),"*","~*"),"?","~?"),$Z$5:$Z$5004,0)=881,MAX($AA$4:AA884)+1,""))</f>
        <v/>
      </c>
    </row>
    <row r="886" spans="1:27">
      <c r="A886" s="9"/>
      <c r="Z886">
        <f>TRIM(A886&amp;"")</f>
        <v/>
      </c>
      <c r="AA886">
        <f>IF(Z886="","",IF(MATCH(SUBSTITUTE(SUBSTITUTE(SUBSTITUTE(Z886,"~","~~"),"*","~*"),"?","~?"),$Z$5:$Z$5004,0)=882,MAX($AA$4:AA885)+1,""))</f>
        <v/>
      </c>
    </row>
    <row r="887" spans="1:27">
      <c r="A887" s="9"/>
      <c r="Z887">
        <f>TRIM(A887&amp;"")</f>
        <v/>
      </c>
      <c r="AA887">
        <f>IF(Z887="","",IF(MATCH(SUBSTITUTE(SUBSTITUTE(SUBSTITUTE(Z887,"~","~~"),"*","~*"),"?","~?"),$Z$5:$Z$5004,0)=883,MAX($AA$4:AA886)+1,""))</f>
        <v/>
      </c>
    </row>
    <row r="888" spans="1:27">
      <c r="A888" s="9"/>
      <c r="Z888">
        <f>TRIM(A888&amp;"")</f>
        <v/>
      </c>
      <c r="AA888">
        <f>IF(Z888="","",IF(MATCH(SUBSTITUTE(SUBSTITUTE(SUBSTITUTE(Z888,"~","~~"),"*","~*"),"?","~?"),$Z$5:$Z$5004,0)=884,MAX($AA$4:AA887)+1,""))</f>
        <v/>
      </c>
    </row>
    <row r="889" spans="1:27">
      <c r="A889" s="9"/>
      <c r="Z889">
        <f>TRIM(A889&amp;"")</f>
        <v/>
      </c>
      <c r="AA889">
        <f>IF(Z889="","",IF(MATCH(SUBSTITUTE(SUBSTITUTE(SUBSTITUTE(Z889,"~","~~"),"*","~*"),"?","~?"),$Z$5:$Z$5004,0)=885,MAX($AA$4:AA888)+1,""))</f>
        <v/>
      </c>
    </row>
    <row r="890" spans="1:27">
      <c r="A890" s="9"/>
      <c r="Z890">
        <f>TRIM(A890&amp;"")</f>
        <v/>
      </c>
      <c r="AA890">
        <f>IF(Z890="","",IF(MATCH(SUBSTITUTE(SUBSTITUTE(SUBSTITUTE(Z890,"~","~~"),"*","~*"),"?","~?"),$Z$5:$Z$5004,0)=886,MAX($AA$4:AA889)+1,""))</f>
        <v/>
      </c>
    </row>
    <row r="891" spans="1:27">
      <c r="A891" s="9"/>
      <c r="Z891">
        <f>TRIM(A891&amp;"")</f>
        <v/>
      </c>
      <c r="AA891">
        <f>IF(Z891="","",IF(MATCH(SUBSTITUTE(SUBSTITUTE(SUBSTITUTE(Z891,"~","~~"),"*","~*"),"?","~?"),$Z$5:$Z$5004,0)=887,MAX($AA$4:AA890)+1,""))</f>
        <v/>
      </c>
    </row>
    <row r="892" spans="1:27">
      <c r="A892" s="9"/>
      <c r="Z892">
        <f>TRIM(A892&amp;"")</f>
        <v/>
      </c>
      <c r="AA892">
        <f>IF(Z892="","",IF(MATCH(SUBSTITUTE(SUBSTITUTE(SUBSTITUTE(Z892,"~","~~"),"*","~*"),"?","~?"),$Z$5:$Z$5004,0)=888,MAX($AA$4:AA891)+1,""))</f>
        <v/>
      </c>
    </row>
    <row r="893" spans="1:27">
      <c r="A893" s="9"/>
      <c r="Z893">
        <f>TRIM(A893&amp;"")</f>
        <v/>
      </c>
      <c r="AA893">
        <f>IF(Z893="","",IF(MATCH(SUBSTITUTE(SUBSTITUTE(SUBSTITUTE(Z893,"~","~~"),"*","~*"),"?","~?"),$Z$5:$Z$5004,0)=889,MAX($AA$4:AA892)+1,""))</f>
        <v/>
      </c>
    </row>
    <row r="894" spans="1:27">
      <c r="A894" s="9"/>
      <c r="Z894">
        <f>TRIM(A894&amp;"")</f>
        <v/>
      </c>
      <c r="AA894">
        <f>IF(Z894="","",IF(MATCH(SUBSTITUTE(SUBSTITUTE(SUBSTITUTE(Z894,"~","~~"),"*","~*"),"?","~?"),$Z$5:$Z$5004,0)=890,MAX($AA$4:AA893)+1,""))</f>
        <v/>
      </c>
    </row>
    <row r="895" spans="1:27">
      <c r="A895" s="9"/>
      <c r="Z895">
        <f>TRIM(A895&amp;"")</f>
        <v/>
      </c>
      <c r="AA895">
        <f>IF(Z895="","",IF(MATCH(SUBSTITUTE(SUBSTITUTE(SUBSTITUTE(Z895,"~","~~"),"*","~*"),"?","~?"),$Z$5:$Z$5004,0)=891,MAX($AA$4:AA894)+1,""))</f>
        <v/>
      </c>
    </row>
    <row r="896" spans="1:27">
      <c r="A896" s="9"/>
      <c r="Z896">
        <f>TRIM(A896&amp;"")</f>
        <v/>
      </c>
      <c r="AA896">
        <f>IF(Z896="","",IF(MATCH(SUBSTITUTE(SUBSTITUTE(SUBSTITUTE(Z896,"~","~~"),"*","~*"),"?","~?"),$Z$5:$Z$5004,0)=892,MAX($AA$4:AA895)+1,""))</f>
        <v/>
      </c>
    </row>
    <row r="897" spans="1:27">
      <c r="A897" s="9"/>
      <c r="Z897">
        <f>TRIM(A897&amp;"")</f>
        <v/>
      </c>
      <c r="AA897">
        <f>IF(Z897="","",IF(MATCH(SUBSTITUTE(SUBSTITUTE(SUBSTITUTE(Z897,"~","~~"),"*","~*"),"?","~?"),$Z$5:$Z$5004,0)=893,MAX($AA$4:AA896)+1,""))</f>
        <v/>
      </c>
    </row>
    <row r="898" spans="1:27">
      <c r="A898" s="9"/>
      <c r="Z898">
        <f>TRIM(A898&amp;"")</f>
        <v/>
      </c>
      <c r="AA898">
        <f>IF(Z898="","",IF(MATCH(SUBSTITUTE(SUBSTITUTE(SUBSTITUTE(Z898,"~","~~"),"*","~*"),"?","~?"),$Z$5:$Z$5004,0)=894,MAX($AA$4:AA897)+1,""))</f>
        <v/>
      </c>
    </row>
    <row r="899" spans="1:27">
      <c r="A899" s="9"/>
      <c r="Z899">
        <f>TRIM(A899&amp;"")</f>
        <v/>
      </c>
      <c r="AA899">
        <f>IF(Z899="","",IF(MATCH(SUBSTITUTE(SUBSTITUTE(SUBSTITUTE(Z899,"~","~~"),"*","~*"),"?","~?"),$Z$5:$Z$5004,0)=895,MAX($AA$4:AA898)+1,""))</f>
        <v/>
      </c>
    </row>
    <row r="900" spans="1:27">
      <c r="A900" s="9"/>
      <c r="Z900">
        <f>TRIM(A900&amp;"")</f>
        <v/>
      </c>
      <c r="AA900">
        <f>IF(Z900="","",IF(MATCH(SUBSTITUTE(SUBSTITUTE(SUBSTITUTE(Z900,"~","~~"),"*","~*"),"?","~?"),$Z$5:$Z$5004,0)=896,MAX($AA$4:AA899)+1,""))</f>
        <v/>
      </c>
    </row>
    <row r="901" spans="1:27">
      <c r="A901" s="9"/>
      <c r="Z901">
        <f>TRIM(A901&amp;"")</f>
        <v/>
      </c>
      <c r="AA901">
        <f>IF(Z901="","",IF(MATCH(SUBSTITUTE(SUBSTITUTE(SUBSTITUTE(Z901,"~","~~"),"*","~*"),"?","~?"),$Z$5:$Z$5004,0)=897,MAX($AA$4:AA900)+1,""))</f>
        <v/>
      </c>
    </row>
    <row r="902" spans="1:27">
      <c r="A902" s="9"/>
      <c r="Z902">
        <f>TRIM(A902&amp;"")</f>
        <v/>
      </c>
      <c r="AA902">
        <f>IF(Z902="","",IF(MATCH(SUBSTITUTE(SUBSTITUTE(SUBSTITUTE(Z902,"~","~~"),"*","~*"),"?","~?"),$Z$5:$Z$5004,0)=898,MAX($AA$4:AA901)+1,""))</f>
        <v/>
      </c>
    </row>
    <row r="903" spans="1:27">
      <c r="A903" s="9"/>
      <c r="Z903">
        <f>TRIM(A903&amp;"")</f>
        <v/>
      </c>
      <c r="AA903">
        <f>IF(Z903="","",IF(MATCH(SUBSTITUTE(SUBSTITUTE(SUBSTITUTE(Z903,"~","~~"),"*","~*"),"?","~?"),$Z$5:$Z$5004,0)=899,MAX($AA$4:AA902)+1,""))</f>
        <v/>
      </c>
    </row>
    <row r="904" spans="1:27">
      <c r="A904" s="9"/>
      <c r="Z904">
        <f>TRIM(A904&amp;"")</f>
        <v/>
      </c>
      <c r="AA904">
        <f>IF(Z904="","",IF(MATCH(SUBSTITUTE(SUBSTITUTE(SUBSTITUTE(Z904,"~","~~"),"*","~*"),"?","~?"),$Z$5:$Z$5004,0)=900,MAX($AA$4:AA903)+1,""))</f>
        <v/>
      </c>
    </row>
    <row r="905" spans="1:27">
      <c r="A905" s="9"/>
      <c r="Z905">
        <f>TRIM(A905&amp;"")</f>
        <v/>
      </c>
      <c r="AA905">
        <f>IF(Z905="","",IF(MATCH(SUBSTITUTE(SUBSTITUTE(SUBSTITUTE(Z905,"~","~~"),"*","~*"),"?","~?"),$Z$5:$Z$5004,0)=901,MAX($AA$4:AA904)+1,""))</f>
        <v/>
      </c>
    </row>
    <row r="906" spans="1:27">
      <c r="A906" s="9"/>
      <c r="Z906">
        <f>TRIM(A906&amp;"")</f>
        <v/>
      </c>
      <c r="AA906">
        <f>IF(Z906="","",IF(MATCH(SUBSTITUTE(SUBSTITUTE(SUBSTITUTE(Z906,"~","~~"),"*","~*"),"?","~?"),$Z$5:$Z$5004,0)=902,MAX($AA$4:AA905)+1,""))</f>
        <v/>
      </c>
    </row>
    <row r="907" spans="1:27">
      <c r="A907" s="9"/>
      <c r="Z907">
        <f>TRIM(A907&amp;"")</f>
        <v/>
      </c>
      <c r="AA907">
        <f>IF(Z907="","",IF(MATCH(SUBSTITUTE(SUBSTITUTE(SUBSTITUTE(Z907,"~","~~"),"*","~*"),"?","~?"),$Z$5:$Z$5004,0)=903,MAX($AA$4:AA906)+1,""))</f>
        <v/>
      </c>
    </row>
    <row r="908" spans="1:27">
      <c r="A908" s="9"/>
      <c r="Z908">
        <f>TRIM(A908&amp;"")</f>
        <v/>
      </c>
      <c r="AA908">
        <f>IF(Z908="","",IF(MATCH(SUBSTITUTE(SUBSTITUTE(SUBSTITUTE(Z908,"~","~~"),"*","~*"),"?","~?"),$Z$5:$Z$5004,0)=904,MAX($AA$4:AA907)+1,""))</f>
        <v/>
      </c>
    </row>
    <row r="909" spans="1:27">
      <c r="A909" s="9"/>
      <c r="Z909">
        <f>TRIM(A909&amp;"")</f>
        <v/>
      </c>
      <c r="AA909">
        <f>IF(Z909="","",IF(MATCH(SUBSTITUTE(SUBSTITUTE(SUBSTITUTE(Z909,"~","~~"),"*","~*"),"?","~?"),$Z$5:$Z$5004,0)=905,MAX($AA$4:AA908)+1,""))</f>
        <v/>
      </c>
    </row>
    <row r="910" spans="1:27">
      <c r="A910" s="9"/>
      <c r="Z910">
        <f>TRIM(A910&amp;"")</f>
        <v/>
      </c>
      <c r="AA910">
        <f>IF(Z910="","",IF(MATCH(SUBSTITUTE(SUBSTITUTE(SUBSTITUTE(Z910,"~","~~"),"*","~*"),"?","~?"),$Z$5:$Z$5004,0)=906,MAX($AA$4:AA909)+1,""))</f>
        <v/>
      </c>
    </row>
    <row r="911" spans="1:27">
      <c r="A911" s="9"/>
      <c r="Z911">
        <f>TRIM(A911&amp;"")</f>
        <v/>
      </c>
      <c r="AA911">
        <f>IF(Z911="","",IF(MATCH(SUBSTITUTE(SUBSTITUTE(SUBSTITUTE(Z911,"~","~~"),"*","~*"),"?","~?"),$Z$5:$Z$5004,0)=907,MAX($AA$4:AA910)+1,""))</f>
        <v/>
      </c>
    </row>
    <row r="912" spans="1:27">
      <c r="A912" s="9"/>
      <c r="Z912">
        <f>TRIM(A912&amp;"")</f>
        <v/>
      </c>
      <c r="AA912">
        <f>IF(Z912="","",IF(MATCH(SUBSTITUTE(SUBSTITUTE(SUBSTITUTE(Z912,"~","~~"),"*","~*"),"?","~?"),$Z$5:$Z$5004,0)=908,MAX($AA$4:AA911)+1,""))</f>
        <v/>
      </c>
    </row>
    <row r="913" spans="1:27">
      <c r="A913" s="9"/>
      <c r="Z913">
        <f>TRIM(A913&amp;"")</f>
        <v/>
      </c>
      <c r="AA913">
        <f>IF(Z913="","",IF(MATCH(SUBSTITUTE(SUBSTITUTE(SUBSTITUTE(Z913,"~","~~"),"*","~*"),"?","~?"),$Z$5:$Z$5004,0)=909,MAX($AA$4:AA912)+1,""))</f>
        <v/>
      </c>
    </row>
    <row r="914" spans="1:27">
      <c r="A914" s="9"/>
      <c r="Z914">
        <f>TRIM(A914&amp;"")</f>
        <v/>
      </c>
      <c r="AA914">
        <f>IF(Z914="","",IF(MATCH(SUBSTITUTE(SUBSTITUTE(SUBSTITUTE(Z914,"~","~~"),"*","~*"),"?","~?"),$Z$5:$Z$5004,0)=910,MAX($AA$4:AA913)+1,""))</f>
        <v/>
      </c>
    </row>
    <row r="915" spans="1:27">
      <c r="A915" s="9"/>
      <c r="Z915">
        <f>TRIM(A915&amp;"")</f>
        <v/>
      </c>
      <c r="AA915">
        <f>IF(Z915="","",IF(MATCH(SUBSTITUTE(SUBSTITUTE(SUBSTITUTE(Z915,"~","~~"),"*","~*"),"?","~?"),$Z$5:$Z$5004,0)=911,MAX($AA$4:AA914)+1,""))</f>
        <v/>
      </c>
    </row>
    <row r="916" spans="1:27">
      <c r="A916" s="9"/>
      <c r="Z916">
        <f>TRIM(A916&amp;"")</f>
        <v/>
      </c>
      <c r="AA916">
        <f>IF(Z916="","",IF(MATCH(SUBSTITUTE(SUBSTITUTE(SUBSTITUTE(Z916,"~","~~"),"*","~*"),"?","~?"),$Z$5:$Z$5004,0)=912,MAX($AA$4:AA915)+1,""))</f>
        <v/>
      </c>
    </row>
    <row r="917" spans="1:27">
      <c r="A917" s="9"/>
      <c r="Z917">
        <f>TRIM(A917&amp;"")</f>
        <v/>
      </c>
      <c r="AA917">
        <f>IF(Z917="","",IF(MATCH(SUBSTITUTE(SUBSTITUTE(SUBSTITUTE(Z917,"~","~~"),"*","~*"),"?","~?"),$Z$5:$Z$5004,0)=913,MAX($AA$4:AA916)+1,""))</f>
        <v/>
      </c>
    </row>
    <row r="918" spans="1:27">
      <c r="A918" s="9"/>
      <c r="Z918">
        <f>TRIM(A918&amp;"")</f>
        <v/>
      </c>
      <c r="AA918">
        <f>IF(Z918="","",IF(MATCH(SUBSTITUTE(SUBSTITUTE(SUBSTITUTE(Z918,"~","~~"),"*","~*"),"?","~?"),$Z$5:$Z$5004,0)=914,MAX($AA$4:AA917)+1,""))</f>
        <v/>
      </c>
    </row>
    <row r="919" spans="1:27">
      <c r="A919" s="9"/>
      <c r="Z919">
        <f>TRIM(A919&amp;"")</f>
        <v/>
      </c>
      <c r="AA919">
        <f>IF(Z919="","",IF(MATCH(SUBSTITUTE(SUBSTITUTE(SUBSTITUTE(Z919,"~","~~"),"*","~*"),"?","~?"),$Z$5:$Z$5004,0)=915,MAX($AA$4:AA918)+1,""))</f>
        <v/>
      </c>
    </row>
    <row r="920" spans="1:27">
      <c r="A920" s="9"/>
      <c r="Z920">
        <f>TRIM(A920&amp;"")</f>
        <v/>
      </c>
      <c r="AA920">
        <f>IF(Z920="","",IF(MATCH(SUBSTITUTE(SUBSTITUTE(SUBSTITUTE(Z920,"~","~~"),"*","~*"),"?","~?"),$Z$5:$Z$5004,0)=916,MAX($AA$4:AA919)+1,""))</f>
        <v/>
      </c>
    </row>
    <row r="921" spans="1:27">
      <c r="A921" s="9"/>
      <c r="Z921">
        <f>TRIM(A921&amp;"")</f>
        <v/>
      </c>
      <c r="AA921">
        <f>IF(Z921="","",IF(MATCH(SUBSTITUTE(SUBSTITUTE(SUBSTITUTE(Z921,"~","~~"),"*","~*"),"?","~?"),$Z$5:$Z$5004,0)=917,MAX($AA$4:AA920)+1,""))</f>
        <v/>
      </c>
    </row>
    <row r="922" spans="1:27">
      <c r="A922" s="9"/>
      <c r="Z922">
        <f>TRIM(A922&amp;"")</f>
        <v/>
      </c>
      <c r="AA922">
        <f>IF(Z922="","",IF(MATCH(SUBSTITUTE(SUBSTITUTE(SUBSTITUTE(Z922,"~","~~"),"*","~*"),"?","~?"),$Z$5:$Z$5004,0)=918,MAX($AA$4:AA921)+1,""))</f>
        <v/>
      </c>
    </row>
    <row r="923" spans="1:27">
      <c r="A923" s="9"/>
      <c r="Z923">
        <f>TRIM(A923&amp;"")</f>
        <v/>
      </c>
      <c r="AA923">
        <f>IF(Z923="","",IF(MATCH(SUBSTITUTE(SUBSTITUTE(SUBSTITUTE(Z923,"~","~~"),"*","~*"),"?","~?"),$Z$5:$Z$5004,0)=919,MAX($AA$4:AA922)+1,""))</f>
        <v/>
      </c>
    </row>
    <row r="924" spans="1:27">
      <c r="A924" s="9"/>
      <c r="Z924">
        <f>TRIM(A924&amp;"")</f>
        <v/>
      </c>
      <c r="AA924">
        <f>IF(Z924="","",IF(MATCH(SUBSTITUTE(SUBSTITUTE(SUBSTITUTE(Z924,"~","~~"),"*","~*"),"?","~?"),$Z$5:$Z$5004,0)=920,MAX($AA$4:AA923)+1,""))</f>
        <v/>
      </c>
    </row>
    <row r="925" spans="1:27">
      <c r="A925" s="9"/>
      <c r="Z925">
        <f>TRIM(A925&amp;"")</f>
        <v/>
      </c>
      <c r="AA925">
        <f>IF(Z925="","",IF(MATCH(SUBSTITUTE(SUBSTITUTE(SUBSTITUTE(Z925,"~","~~"),"*","~*"),"?","~?"),$Z$5:$Z$5004,0)=921,MAX($AA$4:AA924)+1,""))</f>
        <v/>
      </c>
    </row>
    <row r="926" spans="1:27">
      <c r="A926" s="9"/>
      <c r="Z926">
        <f>TRIM(A926&amp;"")</f>
        <v/>
      </c>
      <c r="AA926">
        <f>IF(Z926="","",IF(MATCH(SUBSTITUTE(SUBSTITUTE(SUBSTITUTE(Z926,"~","~~"),"*","~*"),"?","~?"),$Z$5:$Z$5004,0)=922,MAX($AA$4:AA925)+1,""))</f>
        <v/>
      </c>
    </row>
    <row r="927" spans="1:27">
      <c r="A927" s="9"/>
      <c r="Z927">
        <f>TRIM(A927&amp;"")</f>
        <v/>
      </c>
      <c r="AA927">
        <f>IF(Z927="","",IF(MATCH(SUBSTITUTE(SUBSTITUTE(SUBSTITUTE(Z927,"~","~~"),"*","~*"),"?","~?"),$Z$5:$Z$5004,0)=923,MAX($AA$4:AA926)+1,""))</f>
        <v/>
      </c>
    </row>
    <row r="928" spans="1:27">
      <c r="A928" s="9"/>
      <c r="Z928">
        <f>TRIM(A928&amp;"")</f>
        <v/>
      </c>
      <c r="AA928">
        <f>IF(Z928="","",IF(MATCH(SUBSTITUTE(SUBSTITUTE(SUBSTITUTE(Z928,"~","~~"),"*","~*"),"?","~?"),$Z$5:$Z$5004,0)=924,MAX($AA$4:AA927)+1,""))</f>
        <v/>
      </c>
    </row>
    <row r="929" spans="1:27">
      <c r="A929" s="9"/>
      <c r="Z929">
        <f>TRIM(A929&amp;"")</f>
        <v/>
      </c>
      <c r="AA929">
        <f>IF(Z929="","",IF(MATCH(SUBSTITUTE(SUBSTITUTE(SUBSTITUTE(Z929,"~","~~"),"*","~*"),"?","~?"),$Z$5:$Z$5004,0)=925,MAX($AA$4:AA928)+1,""))</f>
        <v/>
      </c>
    </row>
    <row r="930" spans="1:27">
      <c r="A930" s="9"/>
      <c r="Z930">
        <f>TRIM(A930&amp;"")</f>
        <v/>
      </c>
      <c r="AA930">
        <f>IF(Z930="","",IF(MATCH(SUBSTITUTE(SUBSTITUTE(SUBSTITUTE(Z930,"~","~~"),"*","~*"),"?","~?"),$Z$5:$Z$5004,0)=926,MAX($AA$4:AA929)+1,""))</f>
        <v/>
      </c>
    </row>
    <row r="931" spans="1:27">
      <c r="A931" s="9"/>
      <c r="Z931">
        <f>TRIM(A931&amp;"")</f>
        <v/>
      </c>
      <c r="AA931">
        <f>IF(Z931="","",IF(MATCH(SUBSTITUTE(SUBSTITUTE(SUBSTITUTE(Z931,"~","~~"),"*","~*"),"?","~?"),$Z$5:$Z$5004,0)=927,MAX($AA$4:AA930)+1,""))</f>
        <v/>
      </c>
    </row>
    <row r="932" spans="1:27">
      <c r="A932" s="9"/>
      <c r="Z932">
        <f>TRIM(A932&amp;"")</f>
        <v/>
      </c>
      <c r="AA932">
        <f>IF(Z932="","",IF(MATCH(SUBSTITUTE(SUBSTITUTE(SUBSTITUTE(Z932,"~","~~"),"*","~*"),"?","~?"),$Z$5:$Z$5004,0)=928,MAX($AA$4:AA931)+1,""))</f>
        <v/>
      </c>
    </row>
    <row r="933" spans="1:27">
      <c r="A933" s="9"/>
      <c r="Z933">
        <f>TRIM(A933&amp;"")</f>
        <v/>
      </c>
      <c r="AA933">
        <f>IF(Z933="","",IF(MATCH(SUBSTITUTE(SUBSTITUTE(SUBSTITUTE(Z933,"~","~~"),"*","~*"),"?","~?"),$Z$5:$Z$5004,0)=929,MAX($AA$4:AA932)+1,""))</f>
        <v/>
      </c>
    </row>
    <row r="934" spans="1:27">
      <c r="A934" s="9"/>
      <c r="Z934">
        <f>TRIM(A934&amp;"")</f>
        <v/>
      </c>
      <c r="AA934">
        <f>IF(Z934="","",IF(MATCH(SUBSTITUTE(SUBSTITUTE(SUBSTITUTE(Z934,"~","~~"),"*","~*"),"?","~?"),$Z$5:$Z$5004,0)=930,MAX($AA$4:AA933)+1,""))</f>
        <v/>
      </c>
    </row>
    <row r="935" spans="1:27">
      <c r="A935" s="9"/>
      <c r="Z935">
        <f>TRIM(A935&amp;"")</f>
        <v/>
      </c>
      <c r="AA935">
        <f>IF(Z935="","",IF(MATCH(SUBSTITUTE(SUBSTITUTE(SUBSTITUTE(Z935,"~","~~"),"*","~*"),"?","~?"),$Z$5:$Z$5004,0)=931,MAX($AA$4:AA934)+1,""))</f>
        <v/>
      </c>
    </row>
    <row r="936" spans="1:27">
      <c r="A936" s="9"/>
      <c r="Z936">
        <f>TRIM(A936&amp;"")</f>
        <v/>
      </c>
      <c r="AA936">
        <f>IF(Z936="","",IF(MATCH(SUBSTITUTE(SUBSTITUTE(SUBSTITUTE(Z936,"~","~~"),"*","~*"),"?","~?"),$Z$5:$Z$5004,0)=932,MAX($AA$4:AA935)+1,""))</f>
        <v/>
      </c>
    </row>
    <row r="937" spans="1:27">
      <c r="A937" s="9"/>
      <c r="Z937">
        <f>TRIM(A937&amp;"")</f>
        <v/>
      </c>
      <c r="AA937">
        <f>IF(Z937="","",IF(MATCH(SUBSTITUTE(SUBSTITUTE(SUBSTITUTE(Z937,"~","~~"),"*","~*"),"?","~?"),$Z$5:$Z$5004,0)=933,MAX($AA$4:AA936)+1,""))</f>
        <v/>
      </c>
    </row>
    <row r="938" spans="1:27">
      <c r="A938" s="9"/>
      <c r="Z938">
        <f>TRIM(A938&amp;"")</f>
        <v/>
      </c>
      <c r="AA938">
        <f>IF(Z938="","",IF(MATCH(SUBSTITUTE(SUBSTITUTE(SUBSTITUTE(Z938,"~","~~"),"*","~*"),"?","~?"),$Z$5:$Z$5004,0)=934,MAX($AA$4:AA937)+1,""))</f>
        <v/>
      </c>
    </row>
    <row r="939" spans="1:27">
      <c r="A939" s="9"/>
      <c r="Z939">
        <f>TRIM(A939&amp;"")</f>
        <v/>
      </c>
      <c r="AA939">
        <f>IF(Z939="","",IF(MATCH(SUBSTITUTE(SUBSTITUTE(SUBSTITUTE(Z939,"~","~~"),"*","~*"),"?","~?"),$Z$5:$Z$5004,0)=935,MAX($AA$4:AA938)+1,""))</f>
        <v/>
      </c>
    </row>
    <row r="940" spans="1:27">
      <c r="A940" s="9"/>
      <c r="Z940">
        <f>TRIM(A940&amp;"")</f>
        <v/>
      </c>
      <c r="AA940">
        <f>IF(Z940="","",IF(MATCH(SUBSTITUTE(SUBSTITUTE(SUBSTITUTE(Z940,"~","~~"),"*","~*"),"?","~?"),$Z$5:$Z$5004,0)=936,MAX($AA$4:AA939)+1,""))</f>
        <v/>
      </c>
    </row>
    <row r="941" spans="1:27">
      <c r="A941" s="9"/>
      <c r="Z941">
        <f>TRIM(A941&amp;"")</f>
        <v/>
      </c>
      <c r="AA941">
        <f>IF(Z941="","",IF(MATCH(SUBSTITUTE(SUBSTITUTE(SUBSTITUTE(Z941,"~","~~"),"*","~*"),"?","~?"),$Z$5:$Z$5004,0)=937,MAX($AA$4:AA940)+1,""))</f>
        <v/>
      </c>
    </row>
    <row r="942" spans="1:27">
      <c r="A942" s="9"/>
      <c r="Z942">
        <f>TRIM(A942&amp;"")</f>
        <v/>
      </c>
      <c r="AA942">
        <f>IF(Z942="","",IF(MATCH(SUBSTITUTE(SUBSTITUTE(SUBSTITUTE(Z942,"~","~~"),"*","~*"),"?","~?"),$Z$5:$Z$5004,0)=938,MAX($AA$4:AA941)+1,""))</f>
        <v/>
      </c>
    </row>
    <row r="943" spans="1:27">
      <c r="A943" s="9"/>
      <c r="Z943">
        <f>TRIM(A943&amp;"")</f>
        <v/>
      </c>
      <c r="AA943">
        <f>IF(Z943="","",IF(MATCH(SUBSTITUTE(SUBSTITUTE(SUBSTITUTE(Z943,"~","~~"),"*","~*"),"?","~?"),$Z$5:$Z$5004,0)=939,MAX($AA$4:AA942)+1,""))</f>
        <v/>
      </c>
    </row>
    <row r="944" spans="1:27">
      <c r="A944" s="9"/>
      <c r="Z944">
        <f>TRIM(A944&amp;"")</f>
        <v/>
      </c>
      <c r="AA944">
        <f>IF(Z944="","",IF(MATCH(SUBSTITUTE(SUBSTITUTE(SUBSTITUTE(Z944,"~","~~"),"*","~*"),"?","~?"),$Z$5:$Z$5004,0)=940,MAX($AA$4:AA943)+1,""))</f>
        <v/>
      </c>
    </row>
    <row r="945" spans="1:27">
      <c r="A945" s="9"/>
      <c r="Z945">
        <f>TRIM(A945&amp;"")</f>
        <v/>
      </c>
      <c r="AA945">
        <f>IF(Z945="","",IF(MATCH(SUBSTITUTE(SUBSTITUTE(SUBSTITUTE(Z945,"~","~~"),"*","~*"),"?","~?"),$Z$5:$Z$5004,0)=941,MAX($AA$4:AA944)+1,""))</f>
        <v/>
      </c>
    </row>
    <row r="946" spans="1:27">
      <c r="A946" s="9"/>
      <c r="Z946">
        <f>TRIM(A946&amp;"")</f>
        <v/>
      </c>
      <c r="AA946">
        <f>IF(Z946="","",IF(MATCH(SUBSTITUTE(SUBSTITUTE(SUBSTITUTE(Z946,"~","~~"),"*","~*"),"?","~?"),$Z$5:$Z$5004,0)=942,MAX($AA$4:AA945)+1,""))</f>
        <v/>
      </c>
    </row>
    <row r="947" spans="1:27">
      <c r="A947" s="9"/>
      <c r="Z947">
        <f>TRIM(A947&amp;"")</f>
        <v/>
      </c>
      <c r="AA947">
        <f>IF(Z947="","",IF(MATCH(SUBSTITUTE(SUBSTITUTE(SUBSTITUTE(Z947,"~","~~"),"*","~*"),"?","~?"),$Z$5:$Z$5004,0)=943,MAX($AA$4:AA946)+1,""))</f>
        <v/>
      </c>
    </row>
    <row r="948" spans="1:27">
      <c r="A948" s="9"/>
      <c r="Z948">
        <f>TRIM(A948&amp;"")</f>
        <v/>
      </c>
      <c r="AA948">
        <f>IF(Z948="","",IF(MATCH(SUBSTITUTE(SUBSTITUTE(SUBSTITUTE(Z948,"~","~~"),"*","~*"),"?","~?"),$Z$5:$Z$5004,0)=944,MAX($AA$4:AA947)+1,""))</f>
        <v/>
      </c>
    </row>
    <row r="949" spans="1:27">
      <c r="A949" s="9"/>
      <c r="Z949">
        <f>TRIM(A949&amp;"")</f>
        <v/>
      </c>
      <c r="AA949">
        <f>IF(Z949="","",IF(MATCH(SUBSTITUTE(SUBSTITUTE(SUBSTITUTE(Z949,"~","~~"),"*","~*"),"?","~?"),$Z$5:$Z$5004,0)=945,MAX($AA$4:AA948)+1,""))</f>
        <v/>
      </c>
    </row>
    <row r="950" spans="1:27">
      <c r="A950" s="9"/>
      <c r="Z950">
        <f>TRIM(A950&amp;"")</f>
        <v/>
      </c>
      <c r="AA950">
        <f>IF(Z950="","",IF(MATCH(SUBSTITUTE(SUBSTITUTE(SUBSTITUTE(Z950,"~","~~"),"*","~*"),"?","~?"),$Z$5:$Z$5004,0)=946,MAX($AA$4:AA949)+1,""))</f>
        <v/>
      </c>
    </row>
    <row r="951" spans="1:27">
      <c r="A951" s="9"/>
      <c r="Z951">
        <f>TRIM(A951&amp;"")</f>
        <v/>
      </c>
      <c r="AA951">
        <f>IF(Z951="","",IF(MATCH(SUBSTITUTE(SUBSTITUTE(SUBSTITUTE(Z951,"~","~~"),"*","~*"),"?","~?"),$Z$5:$Z$5004,0)=947,MAX($AA$4:AA950)+1,""))</f>
        <v/>
      </c>
    </row>
    <row r="952" spans="1:27">
      <c r="A952" s="9"/>
      <c r="Z952">
        <f>TRIM(A952&amp;"")</f>
        <v/>
      </c>
      <c r="AA952">
        <f>IF(Z952="","",IF(MATCH(SUBSTITUTE(SUBSTITUTE(SUBSTITUTE(Z952,"~","~~"),"*","~*"),"?","~?"),$Z$5:$Z$5004,0)=948,MAX($AA$4:AA951)+1,""))</f>
        <v/>
      </c>
    </row>
    <row r="953" spans="1:27">
      <c r="A953" s="9"/>
      <c r="Z953">
        <f>TRIM(A953&amp;"")</f>
        <v/>
      </c>
      <c r="AA953">
        <f>IF(Z953="","",IF(MATCH(SUBSTITUTE(SUBSTITUTE(SUBSTITUTE(Z953,"~","~~"),"*","~*"),"?","~?"),$Z$5:$Z$5004,0)=949,MAX($AA$4:AA952)+1,""))</f>
        <v/>
      </c>
    </row>
    <row r="954" spans="1:27">
      <c r="A954" s="9"/>
      <c r="Z954">
        <f>TRIM(A954&amp;"")</f>
        <v/>
      </c>
      <c r="AA954">
        <f>IF(Z954="","",IF(MATCH(SUBSTITUTE(SUBSTITUTE(SUBSTITUTE(Z954,"~","~~"),"*","~*"),"?","~?"),$Z$5:$Z$5004,0)=950,MAX($AA$4:AA953)+1,""))</f>
        <v/>
      </c>
    </row>
    <row r="955" spans="1:27">
      <c r="A955" s="9"/>
      <c r="Z955">
        <f>TRIM(A955&amp;"")</f>
        <v/>
      </c>
      <c r="AA955">
        <f>IF(Z955="","",IF(MATCH(SUBSTITUTE(SUBSTITUTE(SUBSTITUTE(Z955,"~","~~"),"*","~*"),"?","~?"),$Z$5:$Z$5004,0)=951,MAX($AA$4:AA954)+1,""))</f>
        <v/>
      </c>
    </row>
    <row r="956" spans="1:27">
      <c r="A956" s="9"/>
      <c r="Z956">
        <f>TRIM(A956&amp;"")</f>
        <v/>
      </c>
      <c r="AA956">
        <f>IF(Z956="","",IF(MATCH(SUBSTITUTE(SUBSTITUTE(SUBSTITUTE(Z956,"~","~~"),"*","~*"),"?","~?"),$Z$5:$Z$5004,0)=952,MAX($AA$4:AA955)+1,""))</f>
        <v/>
      </c>
    </row>
    <row r="957" spans="1:27">
      <c r="A957" s="9"/>
      <c r="Z957">
        <f>TRIM(A957&amp;"")</f>
        <v/>
      </c>
      <c r="AA957">
        <f>IF(Z957="","",IF(MATCH(SUBSTITUTE(SUBSTITUTE(SUBSTITUTE(Z957,"~","~~"),"*","~*"),"?","~?"),$Z$5:$Z$5004,0)=953,MAX($AA$4:AA956)+1,""))</f>
        <v/>
      </c>
    </row>
    <row r="958" spans="1:27">
      <c r="A958" s="9"/>
      <c r="Z958">
        <f>TRIM(A958&amp;"")</f>
        <v/>
      </c>
      <c r="AA958">
        <f>IF(Z958="","",IF(MATCH(SUBSTITUTE(SUBSTITUTE(SUBSTITUTE(Z958,"~","~~"),"*","~*"),"?","~?"),$Z$5:$Z$5004,0)=954,MAX($AA$4:AA957)+1,""))</f>
        <v/>
      </c>
    </row>
    <row r="959" spans="1:27">
      <c r="A959" s="9"/>
      <c r="Z959">
        <f>TRIM(A959&amp;"")</f>
        <v/>
      </c>
      <c r="AA959">
        <f>IF(Z959="","",IF(MATCH(SUBSTITUTE(SUBSTITUTE(SUBSTITUTE(Z959,"~","~~"),"*","~*"),"?","~?"),$Z$5:$Z$5004,0)=955,MAX($AA$4:AA958)+1,""))</f>
        <v/>
      </c>
    </row>
    <row r="960" spans="1:27">
      <c r="A960" s="9"/>
      <c r="Z960">
        <f>TRIM(A960&amp;"")</f>
        <v/>
      </c>
      <c r="AA960">
        <f>IF(Z960="","",IF(MATCH(SUBSTITUTE(SUBSTITUTE(SUBSTITUTE(Z960,"~","~~"),"*","~*"),"?","~?"),$Z$5:$Z$5004,0)=956,MAX($AA$4:AA959)+1,""))</f>
        <v/>
      </c>
    </row>
    <row r="961" spans="1:27">
      <c r="A961" s="9"/>
      <c r="Z961">
        <f>TRIM(A961&amp;"")</f>
        <v/>
      </c>
      <c r="AA961">
        <f>IF(Z961="","",IF(MATCH(SUBSTITUTE(SUBSTITUTE(SUBSTITUTE(Z961,"~","~~"),"*","~*"),"?","~?"),$Z$5:$Z$5004,0)=957,MAX($AA$4:AA960)+1,""))</f>
        <v/>
      </c>
    </row>
    <row r="962" spans="1:27">
      <c r="A962" s="9"/>
      <c r="Z962">
        <f>TRIM(A962&amp;"")</f>
        <v/>
      </c>
      <c r="AA962">
        <f>IF(Z962="","",IF(MATCH(SUBSTITUTE(SUBSTITUTE(SUBSTITUTE(Z962,"~","~~"),"*","~*"),"?","~?"),$Z$5:$Z$5004,0)=958,MAX($AA$4:AA961)+1,""))</f>
        <v/>
      </c>
    </row>
    <row r="963" spans="1:27">
      <c r="A963" s="9"/>
      <c r="Z963">
        <f>TRIM(A963&amp;"")</f>
        <v/>
      </c>
      <c r="AA963">
        <f>IF(Z963="","",IF(MATCH(SUBSTITUTE(SUBSTITUTE(SUBSTITUTE(Z963,"~","~~"),"*","~*"),"?","~?"),$Z$5:$Z$5004,0)=959,MAX($AA$4:AA962)+1,""))</f>
        <v/>
      </c>
    </row>
    <row r="964" spans="1:27">
      <c r="A964" s="9"/>
      <c r="Z964">
        <f>TRIM(A964&amp;"")</f>
        <v/>
      </c>
      <c r="AA964">
        <f>IF(Z964="","",IF(MATCH(SUBSTITUTE(SUBSTITUTE(SUBSTITUTE(Z964,"~","~~"),"*","~*"),"?","~?"),$Z$5:$Z$5004,0)=960,MAX($AA$4:AA963)+1,""))</f>
        <v/>
      </c>
    </row>
    <row r="965" spans="1:27">
      <c r="A965" s="9"/>
      <c r="Z965">
        <f>TRIM(A965&amp;"")</f>
        <v/>
      </c>
      <c r="AA965">
        <f>IF(Z965="","",IF(MATCH(SUBSTITUTE(SUBSTITUTE(SUBSTITUTE(Z965,"~","~~"),"*","~*"),"?","~?"),$Z$5:$Z$5004,0)=961,MAX($AA$4:AA964)+1,""))</f>
        <v/>
      </c>
    </row>
    <row r="966" spans="1:27">
      <c r="A966" s="9"/>
      <c r="Z966">
        <f>TRIM(A966&amp;"")</f>
        <v/>
      </c>
      <c r="AA966">
        <f>IF(Z966="","",IF(MATCH(SUBSTITUTE(SUBSTITUTE(SUBSTITUTE(Z966,"~","~~"),"*","~*"),"?","~?"),$Z$5:$Z$5004,0)=962,MAX($AA$4:AA965)+1,""))</f>
        <v/>
      </c>
    </row>
    <row r="967" spans="1:27">
      <c r="A967" s="9"/>
      <c r="Z967">
        <f>TRIM(A967&amp;"")</f>
        <v/>
      </c>
      <c r="AA967">
        <f>IF(Z967="","",IF(MATCH(SUBSTITUTE(SUBSTITUTE(SUBSTITUTE(Z967,"~","~~"),"*","~*"),"?","~?"),$Z$5:$Z$5004,0)=963,MAX($AA$4:AA966)+1,""))</f>
        <v/>
      </c>
    </row>
    <row r="968" spans="1:27">
      <c r="A968" s="9"/>
      <c r="Z968">
        <f>TRIM(A968&amp;"")</f>
        <v/>
      </c>
      <c r="AA968">
        <f>IF(Z968="","",IF(MATCH(SUBSTITUTE(SUBSTITUTE(SUBSTITUTE(Z968,"~","~~"),"*","~*"),"?","~?"),$Z$5:$Z$5004,0)=964,MAX($AA$4:AA967)+1,""))</f>
        <v/>
      </c>
    </row>
    <row r="969" spans="1:27">
      <c r="A969" s="9"/>
      <c r="Z969">
        <f>TRIM(A969&amp;"")</f>
        <v/>
      </c>
      <c r="AA969">
        <f>IF(Z969="","",IF(MATCH(SUBSTITUTE(SUBSTITUTE(SUBSTITUTE(Z969,"~","~~"),"*","~*"),"?","~?"),$Z$5:$Z$5004,0)=965,MAX($AA$4:AA968)+1,""))</f>
        <v/>
      </c>
    </row>
    <row r="970" spans="1:27">
      <c r="A970" s="9"/>
      <c r="Z970">
        <f>TRIM(A970&amp;"")</f>
        <v/>
      </c>
      <c r="AA970">
        <f>IF(Z970="","",IF(MATCH(SUBSTITUTE(SUBSTITUTE(SUBSTITUTE(Z970,"~","~~"),"*","~*"),"?","~?"),$Z$5:$Z$5004,0)=966,MAX($AA$4:AA969)+1,""))</f>
        <v/>
      </c>
    </row>
    <row r="971" spans="1:27">
      <c r="A971" s="9"/>
      <c r="Z971">
        <f>TRIM(A971&amp;"")</f>
        <v/>
      </c>
      <c r="AA971">
        <f>IF(Z971="","",IF(MATCH(SUBSTITUTE(SUBSTITUTE(SUBSTITUTE(Z971,"~","~~"),"*","~*"),"?","~?"),$Z$5:$Z$5004,0)=967,MAX($AA$4:AA970)+1,""))</f>
        <v/>
      </c>
    </row>
    <row r="972" spans="1:27">
      <c r="A972" s="9"/>
      <c r="Z972">
        <f>TRIM(A972&amp;"")</f>
        <v/>
      </c>
      <c r="AA972">
        <f>IF(Z972="","",IF(MATCH(SUBSTITUTE(SUBSTITUTE(SUBSTITUTE(Z972,"~","~~"),"*","~*"),"?","~?"),$Z$5:$Z$5004,0)=968,MAX($AA$4:AA971)+1,""))</f>
        <v/>
      </c>
    </row>
    <row r="973" spans="1:27">
      <c r="A973" s="9"/>
      <c r="Z973">
        <f>TRIM(A973&amp;"")</f>
        <v/>
      </c>
      <c r="AA973">
        <f>IF(Z973="","",IF(MATCH(SUBSTITUTE(SUBSTITUTE(SUBSTITUTE(Z973,"~","~~"),"*","~*"),"?","~?"),$Z$5:$Z$5004,0)=969,MAX($AA$4:AA972)+1,""))</f>
        <v/>
      </c>
    </row>
    <row r="974" spans="1:27">
      <c r="A974" s="9"/>
      <c r="Z974">
        <f>TRIM(A974&amp;"")</f>
        <v/>
      </c>
      <c r="AA974">
        <f>IF(Z974="","",IF(MATCH(SUBSTITUTE(SUBSTITUTE(SUBSTITUTE(Z974,"~","~~"),"*","~*"),"?","~?"),$Z$5:$Z$5004,0)=970,MAX($AA$4:AA973)+1,""))</f>
        <v/>
      </c>
    </row>
    <row r="975" spans="1:27">
      <c r="A975" s="9"/>
      <c r="Z975">
        <f>TRIM(A975&amp;"")</f>
        <v/>
      </c>
      <c r="AA975">
        <f>IF(Z975="","",IF(MATCH(SUBSTITUTE(SUBSTITUTE(SUBSTITUTE(Z975,"~","~~"),"*","~*"),"?","~?"),$Z$5:$Z$5004,0)=971,MAX($AA$4:AA974)+1,""))</f>
        <v/>
      </c>
    </row>
    <row r="976" spans="1:27">
      <c r="A976" s="9"/>
      <c r="Z976">
        <f>TRIM(A976&amp;"")</f>
        <v/>
      </c>
      <c r="AA976">
        <f>IF(Z976="","",IF(MATCH(SUBSTITUTE(SUBSTITUTE(SUBSTITUTE(Z976,"~","~~"),"*","~*"),"?","~?"),$Z$5:$Z$5004,0)=972,MAX($AA$4:AA975)+1,""))</f>
        <v/>
      </c>
    </row>
    <row r="977" spans="1:27">
      <c r="A977" s="9"/>
      <c r="Z977">
        <f>TRIM(A977&amp;"")</f>
        <v/>
      </c>
      <c r="AA977">
        <f>IF(Z977="","",IF(MATCH(SUBSTITUTE(SUBSTITUTE(SUBSTITUTE(Z977,"~","~~"),"*","~*"),"?","~?"),$Z$5:$Z$5004,0)=973,MAX($AA$4:AA976)+1,""))</f>
        <v/>
      </c>
    </row>
    <row r="978" spans="1:27">
      <c r="A978" s="9"/>
      <c r="Z978">
        <f>TRIM(A978&amp;"")</f>
        <v/>
      </c>
      <c r="AA978">
        <f>IF(Z978="","",IF(MATCH(SUBSTITUTE(SUBSTITUTE(SUBSTITUTE(Z978,"~","~~"),"*","~*"),"?","~?"),$Z$5:$Z$5004,0)=974,MAX($AA$4:AA977)+1,""))</f>
        <v/>
      </c>
    </row>
    <row r="979" spans="1:27">
      <c r="A979" s="9"/>
      <c r="Z979">
        <f>TRIM(A979&amp;"")</f>
        <v/>
      </c>
      <c r="AA979">
        <f>IF(Z979="","",IF(MATCH(SUBSTITUTE(SUBSTITUTE(SUBSTITUTE(Z979,"~","~~"),"*","~*"),"?","~?"),$Z$5:$Z$5004,0)=975,MAX($AA$4:AA978)+1,""))</f>
        <v/>
      </c>
    </row>
    <row r="980" spans="1:27">
      <c r="A980" s="9"/>
      <c r="Z980">
        <f>TRIM(A980&amp;"")</f>
        <v/>
      </c>
      <c r="AA980">
        <f>IF(Z980="","",IF(MATCH(SUBSTITUTE(SUBSTITUTE(SUBSTITUTE(Z980,"~","~~"),"*","~*"),"?","~?"),$Z$5:$Z$5004,0)=976,MAX($AA$4:AA979)+1,""))</f>
        <v/>
      </c>
    </row>
    <row r="981" spans="1:27">
      <c r="A981" s="9"/>
      <c r="Z981">
        <f>TRIM(A981&amp;"")</f>
        <v/>
      </c>
      <c r="AA981">
        <f>IF(Z981="","",IF(MATCH(SUBSTITUTE(SUBSTITUTE(SUBSTITUTE(Z981,"~","~~"),"*","~*"),"?","~?"),$Z$5:$Z$5004,0)=977,MAX($AA$4:AA980)+1,""))</f>
        <v/>
      </c>
    </row>
    <row r="982" spans="1:27">
      <c r="A982" s="9"/>
      <c r="Z982">
        <f>TRIM(A982&amp;"")</f>
        <v/>
      </c>
      <c r="AA982">
        <f>IF(Z982="","",IF(MATCH(SUBSTITUTE(SUBSTITUTE(SUBSTITUTE(Z982,"~","~~"),"*","~*"),"?","~?"),$Z$5:$Z$5004,0)=978,MAX($AA$4:AA981)+1,""))</f>
        <v/>
      </c>
    </row>
    <row r="983" spans="1:27">
      <c r="A983" s="9"/>
      <c r="Z983">
        <f>TRIM(A983&amp;"")</f>
        <v/>
      </c>
      <c r="AA983">
        <f>IF(Z983="","",IF(MATCH(SUBSTITUTE(SUBSTITUTE(SUBSTITUTE(Z983,"~","~~"),"*","~*"),"?","~?"),$Z$5:$Z$5004,0)=979,MAX($AA$4:AA982)+1,""))</f>
        <v/>
      </c>
    </row>
    <row r="984" spans="1:27">
      <c r="A984" s="9"/>
      <c r="Z984">
        <f>TRIM(A984&amp;"")</f>
        <v/>
      </c>
      <c r="AA984">
        <f>IF(Z984="","",IF(MATCH(SUBSTITUTE(SUBSTITUTE(SUBSTITUTE(Z984,"~","~~"),"*","~*"),"?","~?"),$Z$5:$Z$5004,0)=980,MAX($AA$4:AA983)+1,""))</f>
        <v/>
      </c>
    </row>
    <row r="985" spans="1:27">
      <c r="A985" s="9"/>
      <c r="Z985">
        <f>TRIM(A985&amp;"")</f>
        <v/>
      </c>
      <c r="AA985">
        <f>IF(Z985="","",IF(MATCH(SUBSTITUTE(SUBSTITUTE(SUBSTITUTE(Z985,"~","~~"),"*","~*"),"?","~?"),$Z$5:$Z$5004,0)=981,MAX($AA$4:AA984)+1,""))</f>
        <v/>
      </c>
    </row>
    <row r="986" spans="1:27">
      <c r="A986" s="9"/>
      <c r="Z986">
        <f>TRIM(A986&amp;"")</f>
        <v/>
      </c>
      <c r="AA986">
        <f>IF(Z986="","",IF(MATCH(SUBSTITUTE(SUBSTITUTE(SUBSTITUTE(Z986,"~","~~"),"*","~*"),"?","~?"),$Z$5:$Z$5004,0)=982,MAX($AA$4:AA985)+1,""))</f>
        <v/>
      </c>
    </row>
    <row r="987" spans="1:27">
      <c r="A987" s="9"/>
      <c r="Z987">
        <f>TRIM(A987&amp;"")</f>
        <v/>
      </c>
      <c r="AA987">
        <f>IF(Z987="","",IF(MATCH(SUBSTITUTE(SUBSTITUTE(SUBSTITUTE(Z987,"~","~~"),"*","~*"),"?","~?"),$Z$5:$Z$5004,0)=983,MAX($AA$4:AA986)+1,""))</f>
        <v/>
      </c>
    </row>
    <row r="988" spans="1:27">
      <c r="A988" s="9"/>
      <c r="Z988">
        <f>TRIM(A988&amp;"")</f>
        <v/>
      </c>
      <c r="AA988">
        <f>IF(Z988="","",IF(MATCH(SUBSTITUTE(SUBSTITUTE(SUBSTITUTE(Z988,"~","~~"),"*","~*"),"?","~?"),$Z$5:$Z$5004,0)=984,MAX($AA$4:AA987)+1,""))</f>
        <v/>
      </c>
    </row>
    <row r="989" spans="1:27">
      <c r="A989" s="9"/>
      <c r="Z989">
        <f>TRIM(A989&amp;"")</f>
        <v/>
      </c>
      <c r="AA989">
        <f>IF(Z989="","",IF(MATCH(SUBSTITUTE(SUBSTITUTE(SUBSTITUTE(Z989,"~","~~"),"*","~*"),"?","~?"),$Z$5:$Z$5004,0)=985,MAX($AA$4:AA988)+1,""))</f>
        <v/>
      </c>
    </row>
    <row r="990" spans="1:27">
      <c r="A990" s="9"/>
      <c r="Z990">
        <f>TRIM(A990&amp;"")</f>
        <v/>
      </c>
      <c r="AA990">
        <f>IF(Z990="","",IF(MATCH(SUBSTITUTE(SUBSTITUTE(SUBSTITUTE(Z990,"~","~~"),"*","~*"),"?","~?"),$Z$5:$Z$5004,0)=986,MAX($AA$4:AA989)+1,""))</f>
        <v/>
      </c>
    </row>
    <row r="991" spans="1:27">
      <c r="A991" s="9"/>
      <c r="Z991">
        <f>TRIM(A991&amp;"")</f>
        <v/>
      </c>
      <c r="AA991">
        <f>IF(Z991="","",IF(MATCH(SUBSTITUTE(SUBSTITUTE(SUBSTITUTE(Z991,"~","~~"),"*","~*"),"?","~?"),$Z$5:$Z$5004,0)=987,MAX($AA$4:AA990)+1,""))</f>
        <v/>
      </c>
    </row>
    <row r="992" spans="1:27">
      <c r="A992" s="9"/>
      <c r="Z992">
        <f>TRIM(A992&amp;"")</f>
        <v/>
      </c>
      <c r="AA992">
        <f>IF(Z992="","",IF(MATCH(SUBSTITUTE(SUBSTITUTE(SUBSTITUTE(Z992,"~","~~"),"*","~*"),"?","~?"),$Z$5:$Z$5004,0)=988,MAX($AA$4:AA991)+1,""))</f>
        <v/>
      </c>
    </row>
    <row r="993" spans="1:27">
      <c r="A993" s="9"/>
      <c r="Z993">
        <f>TRIM(A993&amp;"")</f>
        <v/>
      </c>
      <c r="AA993">
        <f>IF(Z993="","",IF(MATCH(SUBSTITUTE(SUBSTITUTE(SUBSTITUTE(Z993,"~","~~"),"*","~*"),"?","~?"),$Z$5:$Z$5004,0)=989,MAX($AA$4:AA992)+1,""))</f>
        <v/>
      </c>
    </row>
    <row r="994" spans="1:27">
      <c r="A994" s="9"/>
      <c r="Z994">
        <f>TRIM(A994&amp;"")</f>
        <v/>
      </c>
      <c r="AA994">
        <f>IF(Z994="","",IF(MATCH(SUBSTITUTE(SUBSTITUTE(SUBSTITUTE(Z994,"~","~~"),"*","~*"),"?","~?"),$Z$5:$Z$5004,0)=990,MAX($AA$4:AA993)+1,""))</f>
        <v/>
      </c>
    </row>
    <row r="995" spans="1:27">
      <c r="A995" s="9"/>
      <c r="Z995">
        <f>TRIM(A995&amp;"")</f>
        <v/>
      </c>
      <c r="AA995">
        <f>IF(Z995="","",IF(MATCH(SUBSTITUTE(SUBSTITUTE(SUBSTITUTE(Z995,"~","~~"),"*","~*"),"?","~?"),$Z$5:$Z$5004,0)=991,MAX($AA$4:AA994)+1,""))</f>
        <v/>
      </c>
    </row>
    <row r="996" spans="1:27">
      <c r="A996" s="9"/>
      <c r="Z996">
        <f>TRIM(A996&amp;"")</f>
        <v/>
      </c>
      <c r="AA996">
        <f>IF(Z996="","",IF(MATCH(SUBSTITUTE(SUBSTITUTE(SUBSTITUTE(Z996,"~","~~"),"*","~*"),"?","~?"),$Z$5:$Z$5004,0)=992,MAX($AA$4:AA995)+1,""))</f>
        <v/>
      </c>
    </row>
    <row r="997" spans="1:27">
      <c r="A997" s="9"/>
      <c r="Z997">
        <f>TRIM(A997&amp;"")</f>
        <v/>
      </c>
      <c r="AA997">
        <f>IF(Z997="","",IF(MATCH(SUBSTITUTE(SUBSTITUTE(SUBSTITUTE(Z997,"~","~~"),"*","~*"),"?","~?"),$Z$5:$Z$5004,0)=993,MAX($AA$4:AA996)+1,""))</f>
        <v/>
      </c>
    </row>
    <row r="998" spans="1:27">
      <c r="A998" s="9"/>
      <c r="Z998">
        <f>TRIM(A998&amp;"")</f>
        <v/>
      </c>
      <c r="AA998">
        <f>IF(Z998="","",IF(MATCH(SUBSTITUTE(SUBSTITUTE(SUBSTITUTE(Z998,"~","~~"),"*","~*"),"?","~?"),$Z$5:$Z$5004,0)=994,MAX($AA$4:AA997)+1,""))</f>
        <v/>
      </c>
    </row>
    <row r="999" spans="1:27">
      <c r="A999" s="9"/>
      <c r="Z999">
        <f>TRIM(A999&amp;"")</f>
        <v/>
      </c>
      <c r="AA999">
        <f>IF(Z999="","",IF(MATCH(SUBSTITUTE(SUBSTITUTE(SUBSTITUTE(Z999,"~","~~"),"*","~*"),"?","~?"),$Z$5:$Z$5004,0)=995,MAX($AA$4:AA998)+1,""))</f>
        <v/>
      </c>
    </row>
    <row r="1000" spans="1:27">
      <c r="A1000" s="9"/>
      <c r="Z1000">
        <f>TRIM(A1000&amp;"")</f>
        <v/>
      </c>
      <c r="AA1000">
        <f>IF(Z1000="","",IF(MATCH(SUBSTITUTE(SUBSTITUTE(SUBSTITUTE(Z1000,"~","~~"),"*","~*"),"?","~?"),$Z$5:$Z$5004,0)=996,MAX($AA$4:AA999)+1,""))</f>
        <v/>
      </c>
    </row>
    <row r="1001" spans="1:27">
      <c r="A1001" s="9"/>
      <c r="Z1001">
        <f>TRIM(A1001&amp;"")</f>
        <v/>
      </c>
      <c r="AA1001">
        <f>IF(Z1001="","",IF(MATCH(SUBSTITUTE(SUBSTITUTE(SUBSTITUTE(Z1001,"~","~~"),"*","~*"),"?","~?"),$Z$5:$Z$5004,0)=997,MAX($AA$4:AA1000)+1,""))</f>
        <v/>
      </c>
    </row>
    <row r="1002" spans="1:27">
      <c r="A1002" s="9"/>
      <c r="Z1002">
        <f>TRIM(A1002&amp;"")</f>
        <v/>
      </c>
      <c r="AA1002">
        <f>IF(Z1002="","",IF(MATCH(SUBSTITUTE(SUBSTITUTE(SUBSTITUTE(Z1002,"~","~~"),"*","~*"),"?","~?"),$Z$5:$Z$5004,0)=998,MAX($AA$4:AA1001)+1,""))</f>
        <v/>
      </c>
    </row>
    <row r="1003" spans="1:27">
      <c r="A1003" s="9"/>
      <c r="Z1003">
        <f>TRIM(A1003&amp;"")</f>
        <v/>
      </c>
      <c r="AA1003">
        <f>IF(Z1003="","",IF(MATCH(SUBSTITUTE(SUBSTITUTE(SUBSTITUTE(Z1003,"~","~~"),"*","~*"),"?","~?"),$Z$5:$Z$5004,0)=999,MAX($AA$4:AA1002)+1,""))</f>
        <v/>
      </c>
    </row>
    <row r="1004" spans="1:27">
      <c r="A1004" s="9"/>
      <c r="Z1004">
        <f>TRIM(A1004&amp;"")</f>
        <v/>
      </c>
      <c r="AA1004">
        <f>IF(Z1004="","",IF(MATCH(SUBSTITUTE(SUBSTITUTE(SUBSTITUTE(Z1004,"~","~~"),"*","~*"),"?","~?"),$Z$5:$Z$5004,0)=1000,MAX($AA$4:AA1003)+1,""))</f>
        <v/>
      </c>
    </row>
    <row r="1005" spans="1:27">
      <c r="A1005" s="9"/>
      <c r="Z1005">
        <f>TRIM(A1005&amp;"")</f>
        <v/>
      </c>
      <c r="AA1005">
        <f>IF(Z1005="","",IF(MATCH(SUBSTITUTE(SUBSTITUTE(SUBSTITUTE(Z1005,"~","~~"),"*","~*"),"?","~?"),$Z$5:$Z$5004,0)=1001,MAX($AA$4:AA1004)+1,""))</f>
        <v/>
      </c>
    </row>
    <row r="1006" spans="1:27">
      <c r="A1006" s="9"/>
      <c r="Z1006">
        <f>TRIM(A1006&amp;"")</f>
        <v/>
      </c>
      <c r="AA1006">
        <f>IF(Z1006="","",IF(MATCH(SUBSTITUTE(SUBSTITUTE(SUBSTITUTE(Z1006,"~","~~"),"*","~*"),"?","~?"),$Z$5:$Z$5004,0)=1002,MAX($AA$4:AA1005)+1,""))</f>
        <v/>
      </c>
    </row>
    <row r="1007" spans="1:27">
      <c r="A1007" s="9"/>
      <c r="Z1007">
        <f>TRIM(A1007&amp;"")</f>
        <v/>
      </c>
      <c r="AA1007">
        <f>IF(Z1007="","",IF(MATCH(SUBSTITUTE(SUBSTITUTE(SUBSTITUTE(Z1007,"~","~~"),"*","~*"),"?","~?"),$Z$5:$Z$5004,0)=1003,MAX($AA$4:AA1006)+1,""))</f>
        <v/>
      </c>
    </row>
    <row r="1008" spans="1:27">
      <c r="A1008" s="9"/>
      <c r="Z1008">
        <f>TRIM(A1008&amp;"")</f>
        <v/>
      </c>
      <c r="AA1008">
        <f>IF(Z1008="","",IF(MATCH(SUBSTITUTE(SUBSTITUTE(SUBSTITUTE(Z1008,"~","~~"),"*","~*"),"?","~?"),$Z$5:$Z$5004,0)=1004,MAX($AA$4:AA1007)+1,""))</f>
        <v/>
      </c>
    </row>
    <row r="1009" spans="1:27">
      <c r="A1009" s="9"/>
      <c r="Z1009">
        <f>TRIM(A1009&amp;"")</f>
        <v/>
      </c>
      <c r="AA1009">
        <f>IF(Z1009="","",IF(MATCH(SUBSTITUTE(SUBSTITUTE(SUBSTITUTE(Z1009,"~","~~"),"*","~*"),"?","~?"),$Z$5:$Z$5004,0)=1005,MAX($AA$4:AA1008)+1,""))</f>
        <v/>
      </c>
    </row>
    <row r="1010" spans="1:27">
      <c r="A1010" s="9"/>
      <c r="Z1010">
        <f>TRIM(A1010&amp;"")</f>
        <v/>
      </c>
      <c r="AA1010">
        <f>IF(Z1010="","",IF(MATCH(SUBSTITUTE(SUBSTITUTE(SUBSTITUTE(Z1010,"~","~~"),"*","~*"),"?","~?"),$Z$5:$Z$5004,0)=1006,MAX($AA$4:AA1009)+1,""))</f>
        <v/>
      </c>
    </row>
    <row r="1011" spans="1:27">
      <c r="A1011" s="9"/>
      <c r="Z1011">
        <f>TRIM(A1011&amp;"")</f>
        <v/>
      </c>
      <c r="AA1011">
        <f>IF(Z1011="","",IF(MATCH(SUBSTITUTE(SUBSTITUTE(SUBSTITUTE(Z1011,"~","~~"),"*","~*"),"?","~?"),$Z$5:$Z$5004,0)=1007,MAX($AA$4:AA1010)+1,""))</f>
        <v/>
      </c>
    </row>
    <row r="1012" spans="1:27">
      <c r="A1012" s="9"/>
      <c r="Z1012">
        <f>TRIM(A1012&amp;"")</f>
        <v/>
      </c>
      <c r="AA1012">
        <f>IF(Z1012="","",IF(MATCH(SUBSTITUTE(SUBSTITUTE(SUBSTITUTE(Z1012,"~","~~"),"*","~*"),"?","~?"),$Z$5:$Z$5004,0)=1008,MAX($AA$4:AA1011)+1,""))</f>
        <v/>
      </c>
    </row>
    <row r="1013" spans="1:27">
      <c r="A1013" s="9"/>
      <c r="Z1013">
        <f>TRIM(A1013&amp;"")</f>
        <v/>
      </c>
      <c r="AA1013">
        <f>IF(Z1013="","",IF(MATCH(SUBSTITUTE(SUBSTITUTE(SUBSTITUTE(Z1013,"~","~~"),"*","~*"),"?","~?"),$Z$5:$Z$5004,0)=1009,MAX($AA$4:AA1012)+1,""))</f>
        <v/>
      </c>
    </row>
    <row r="1014" spans="1:27">
      <c r="A1014" s="9"/>
      <c r="Z1014">
        <f>TRIM(A1014&amp;"")</f>
        <v/>
      </c>
      <c r="AA1014">
        <f>IF(Z1014="","",IF(MATCH(SUBSTITUTE(SUBSTITUTE(SUBSTITUTE(Z1014,"~","~~"),"*","~*"),"?","~?"),$Z$5:$Z$5004,0)=1010,MAX($AA$4:AA1013)+1,""))</f>
        <v/>
      </c>
    </row>
    <row r="1015" spans="1:27">
      <c r="A1015" s="9"/>
      <c r="Z1015">
        <f>TRIM(A1015&amp;"")</f>
        <v/>
      </c>
      <c r="AA1015">
        <f>IF(Z1015="","",IF(MATCH(SUBSTITUTE(SUBSTITUTE(SUBSTITUTE(Z1015,"~","~~"),"*","~*"),"?","~?"),$Z$5:$Z$5004,0)=1011,MAX($AA$4:AA1014)+1,""))</f>
        <v/>
      </c>
    </row>
    <row r="1016" spans="1:27">
      <c r="A1016" s="9"/>
      <c r="Z1016">
        <f>TRIM(A1016&amp;"")</f>
        <v/>
      </c>
      <c r="AA1016">
        <f>IF(Z1016="","",IF(MATCH(SUBSTITUTE(SUBSTITUTE(SUBSTITUTE(Z1016,"~","~~"),"*","~*"),"?","~?"),$Z$5:$Z$5004,0)=1012,MAX($AA$4:AA1015)+1,""))</f>
        <v/>
      </c>
    </row>
    <row r="1017" spans="1:27">
      <c r="A1017" s="9"/>
      <c r="Z1017">
        <f>TRIM(A1017&amp;"")</f>
        <v/>
      </c>
      <c r="AA1017">
        <f>IF(Z1017="","",IF(MATCH(SUBSTITUTE(SUBSTITUTE(SUBSTITUTE(Z1017,"~","~~"),"*","~*"),"?","~?"),$Z$5:$Z$5004,0)=1013,MAX($AA$4:AA1016)+1,""))</f>
        <v/>
      </c>
    </row>
    <row r="1018" spans="1:27">
      <c r="A1018" s="9"/>
      <c r="Z1018">
        <f>TRIM(A1018&amp;"")</f>
        <v/>
      </c>
      <c r="AA1018">
        <f>IF(Z1018="","",IF(MATCH(SUBSTITUTE(SUBSTITUTE(SUBSTITUTE(Z1018,"~","~~"),"*","~*"),"?","~?"),$Z$5:$Z$5004,0)=1014,MAX($AA$4:AA1017)+1,""))</f>
        <v/>
      </c>
    </row>
    <row r="1019" spans="1:27">
      <c r="A1019" s="9"/>
      <c r="Z1019">
        <f>TRIM(A1019&amp;"")</f>
        <v/>
      </c>
      <c r="AA1019">
        <f>IF(Z1019="","",IF(MATCH(SUBSTITUTE(SUBSTITUTE(SUBSTITUTE(Z1019,"~","~~"),"*","~*"),"?","~?"),$Z$5:$Z$5004,0)=1015,MAX($AA$4:AA1018)+1,""))</f>
        <v/>
      </c>
    </row>
    <row r="1020" spans="1:27">
      <c r="A1020" s="9"/>
      <c r="Z1020">
        <f>TRIM(A1020&amp;"")</f>
        <v/>
      </c>
      <c r="AA1020">
        <f>IF(Z1020="","",IF(MATCH(SUBSTITUTE(SUBSTITUTE(SUBSTITUTE(Z1020,"~","~~"),"*","~*"),"?","~?"),$Z$5:$Z$5004,0)=1016,MAX($AA$4:AA1019)+1,""))</f>
        <v/>
      </c>
    </row>
    <row r="1021" spans="1:27">
      <c r="A1021" s="9"/>
      <c r="Z1021">
        <f>TRIM(A1021&amp;"")</f>
        <v/>
      </c>
      <c r="AA1021">
        <f>IF(Z1021="","",IF(MATCH(SUBSTITUTE(SUBSTITUTE(SUBSTITUTE(Z1021,"~","~~"),"*","~*"),"?","~?"),$Z$5:$Z$5004,0)=1017,MAX($AA$4:AA1020)+1,""))</f>
        <v/>
      </c>
    </row>
    <row r="1022" spans="1:27">
      <c r="A1022" s="9"/>
      <c r="Z1022">
        <f>TRIM(A1022&amp;"")</f>
        <v/>
      </c>
      <c r="AA1022">
        <f>IF(Z1022="","",IF(MATCH(SUBSTITUTE(SUBSTITUTE(SUBSTITUTE(Z1022,"~","~~"),"*","~*"),"?","~?"),$Z$5:$Z$5004,0)=1018,MAX($AA$4:AA1021)+1,""))</f>
        <v/>
      </c>
    </row>
    <row r="1023" spans="1:27">
      <c r="A1023" s="9"/>
      <c r="Z1023">
        <f>TRIM(A1023&amp;"")</f>
        <v/>
      </c>
      <c r="AA1023">
        <f>IF(Z1023="","",IF(MATCH(SUBSTITUTE(SUBSTITUTE(SUBSTITUTE(Z1023,"~","~~"),"*","~*"),"?","~?"),$Z$5:$Z$5004,0)=1019,MAX($AA$4:AA1022)+1,""))</f>
        <v/>
      </c>
    </row>
    <row r="1024" spans="1:27">
      <c r="A1024" s="9"/>
      <c r="Z1024">
        <f>TRIM(A1024&amp;"")</f>
        <v/>
      </c>
      <c r="AA1024">
        <f>IF(Z1024="","",IF(MATCH(SUBSTITUTE(SUBSTITUTE(SUBSTITUTE(Z1024,"~","~~"),"*","~*"),"?","~?"),$Z$5:$Z$5004,0)=1020,MAX($AA$4:AA1023)+1,""))</f>
        <v/>
      </c>
    </row>
    <row r="1025" spans="1:27">
      <c r="A1025" s="9"/>
      <c r="Z1025">
        <f>TRIM(A1025&amp;"")</f>
        <v/>
      </c>
      <c r="AA1025">
        <f>IF(Z1025="","",IF(MATCH(SUBSTITUTE(SUBSTITUTE(SUBSTITUTE(Z1025,"~","~~"),"*","~*"),"?","~?"),$Z$5:$Z$5004,0)=1021,MAX($AA$4:AA1024)+1,""))</f>
        <v/>
      </c>
    </row>
    <row r="1026" spans="1:27">
      <c r="A1026" s="9"/>
      <c r="Z1026">
        <f>TRIM(A1026&amp;"")</f>
        <v/>
      </c>
      <c r="AA1026">
        <f>IF(Z1026="","",IF(MATCH(SUBSTITUTE(SUBSTITUTE(SUBSTITUTE(Z1026,"~","~~"),"*","~*"),"?","~?"),$Z$5:$Z$5004,0)=1022,MAX($AA$4:AA1025)+1,""))</f>
        <v/>
      </c>
    </row>
    <row r="1027" spans="1:27">
      <c r="A1027" s="9"/>
      <c r="Z1027">
        <f>TRIM(A1027&amp;"")</f>
        <v/>
      </c>
      <c r="AA1027">
        <f>IF(Z1027="","",IF(MATCH(SUBSTITUTE(SUBSTITUTE(SUBSTITUTE(Z1027,"~","~~"),"*","~*"),"?","~?"),$Z$5:$Z$5004,0)=1023,MAX($AA$4:AA1026)+1,""))</f>
        <v/>
      </c>
    </row>
    <row r="1028" spans="1:27">
      <c r="A1028" s="9"/>
      <c r="Z1028">
        <f>TRIM(A1028&amp;"")</f>
        <v/>
      </c>
      <c r="AA1028">
        <f>IF(Z1028="","",IF(MATCH(SUBSTITUTE(SUBSTITUTE(SUBSTITUTE(Z1028,"~","~~"),"*","~*"),"?","~?"),$Z$5:$Z$5004,0)=1024,MAX($AA$4:AA1027)+1,""))</f>
        <v/>
      </c>
    </row>
    <row r="1029" spans="1:27">
      <c r="A1029" s="9"/>
      <c r="Z1029">
        <f>TRIM(A1029&amp;"")</f>
        <v/>
      </c>
      <c r="AA1029">
        <f>IF(Z1029="","",IF(MATCH(SUBSTITUTE(SUBSTITUTE(SUBSTITUTE(Z1029,"~","~~"),"*","~*"),"?","~?"),$Z$5:$Z$5004,0)=1025,MAX($AA$4:AA1028)+1,""))</f>
        <v/>
      </c>
    </row>
    <row r="1030" spans="1:27">
      <c r="A1030" s="9"/>
      <c r="Z1030">
        <f>TRIM(A1030&amp;"")</f>
        <v/>
      </c>
      <c r="AA1030">
        <f>IF(Z1030="","",IF(MATCH(SUBSTITUTE(SUBSTITUTE(SUBSTITUTE(Z1030,"~","~~"),"*","~*"),"?","~?"),$Z$5:$Z$5004,0)=1026,MAX($AA$4:AA1029)+1,""))</f>
        <v/>
      </c>
    </row>
    <row r="1031" spans="1:27">
      <c r="A1031" s="9"/>
      <c r="Z1031">
        <f>TRIM(A1031&amp;"")</f>
        <v/>
      </c>
      <c r="AA1031">
        <f>IF(Z1031="","",IF(MATCH(SUBSTITUTE(SUBSTITUTE(SUBSTITUTE(Z1031,"~","~~"),"*","~*"),"?","~?"),$Z$5:$Z$5004,0)=1027,MAX($AA$4:AA1030)+1,""))</f>
        <v/>
      </c>
    </row>
    <row r="1032" spans="1:27">
      <c r="A1032" s="9"/>
      <c r="Z1032">
        <f>TRIM(A1032&amp;"")</f>
        <v/>
      </c>
      <c r="AA1032">
        <f>IF(Z1032="","",IF(MATCH(SUBSTITUTE(SUBSTITUTE(SUBSTITUTE(Z1032,"~","~~"),"*","~*"),"?","~?"),$Z$5:$Z$5004,0)=1028,MAX($AA$4:AA1031)+1,""))</f>
        <v/>
      </c>
    </row>
    <row r="1033" spans="1:27">
      <c r="A1033" s="9"/>
      <c r="Z1033">
        <f>TRIM(A1033&amp;"")</f>
        <v/>
      </c>
      <c r="AA1033">
        <f>IF(Z1033="","",IF(MATCH(SUBSTITUTE(SUBSTITUTE(SUBSTITUTE(Z1033,"~","~~"),"*","~*"),"?","~?"),$Z$5:$Z$5004,0)=1029,MAX($AA$4:AA1032)+1,""))</f>
        <v/>
      </c>
    </row>
    <row r="1034" spans="1:27">
      <c r="A1034" s="9"/>
      <c r="Z1034">
        <f>TRIM(A1034&amp;"")</f>
        <v/>
      </c>
      <c r="AA1034">
        <f>IF(Z1034="","",IF(MATCH(SUBSTITUTE(SUBSTITUTE(SUBSTITUTE(Z1034,"~","~~"),"*","~*"),"?","~?"),$Z$5:$Z$5004,0)=1030,MAX($AA$4:AA1033)+1,""))</f>
        <v/>
      </c>
    </row>
    <row r="1035" spans="1:27">
      <c r="A1035" s="9"/>
      <c r="Z1035">
        <f>TRIM(A1035&amp;"")</f>
        <v/>
      </c>
      <c r="AA1035">
        <f>IF(Z1035="","",IF(MATCH(SUBSTITUTE(SUBSTITUTE(SUBSTITUTE(Z1035,"~","~~"),"*","~*"),"?","~?"),$Z$5:$Z$5004,0)=1031,MAX($AA$4:AA1034)+1,""))</f>
        <v/>
      </c>
    </row>
    <row r="1036" spans="1:27">
      <c r="A1036" s="9"/>
      <c r="Z1036">
        <f>TRIM(A1036&amp;"")</f>
        <v/>
      </c>
      <c r="AA1036">
        <f>IF(Z1036="","",IF(MATCH(SUBSTITUTE(SUBSTITUTE(SUBSTITUTE(Z1036,"~","~~"),"*","~*"),"?","~?"),$Z$5:$Z$5004,0)=1032,MAX($AA$4:AA1035)+1,""))</f>
        <v/>
      </c>
    </row>
    <row r="1037" spans="1:27">
      <c r="A1037" s="9"/>
      <c r="Z1037">
        <f>TRIM(A1037&amp;"")</f>
        <v/>
      </c>
      <c r="AA1037">
        <f>IF(Z1037="","",IF(MATCH(SUBSTITUTE(SUBSTITUTE(SUBSTITUTE(Z1037,"~","~~"),"*","~*"),"?","~?"),$Z$5:$Z$5004,0)=1033,MAX($AA$4:AA1036)+1,""))</f>
        <v/>
      </c>
    </row>
    <row r="1038" spans="1:27">
      <c r="A1038" s="9"/>
      <c r="Z1038">
        <f>TRIM(A1038&amp;"")</f>
        <v/>
      </c>
      <c r="AA1038">
        <f>IF(Z1038="","",IF(MATCH(SUBSTITUTE(SUBSTITUTE(SUBSTITUTE(Z1038,"~","~~"),"*","~*"),"?","~?"),$Z$5:$Z$5004,0)=1034,MAX($AA$4:AA1037)+1,""))</f>
        <v/>
      </c>
    </row>
    <row r="1039" spans="1:27">
      <c r="A1039" s="9"/>
      <c r="Z1039">
        <f>TRIM(A1039&amp;"")</f>
        <v/>
      </c>
      <c r="AA1039">
        <f>IF(Z1039="","",IF(MATCH(SUBSTITUTE(SUBSTITUTE(SUBSTITUTE(Z1039,"~","~~"),"*","~*"),"?","~?"),$Z$5:$Z$5004,0)=1035,MAX($AA$4:AA1038)+1,""))</f>
        <v/>
      </c>
    </row>
    <row r="1040" spans="1:27">
      <c r="A1040" s="9"/>
      <c r="Z1040">
        <f>TRIM(A1040&amp;"")</f>
        <v/>
      </c>
      <c r="AA1040">
        <f>IF(Z1040="","",IF(MATCH(SUBSTITUTE(SUBSTITUTE(SUBSTITUTE(Z1040,"~","~~"),"*","~*"),"?","~?"),$Z$5:$Z$5004,0)=1036,MAX($AA$4:AA1039)+1,""))</f>
        <v/>
      </c>
    </row>
    <row r="1041" spans="1:27">
      <c r="A1041" s="9"/>
      <c r="Z1041">
        <f>TRIM(A1041&amp;"")</f>
        <v/>
      </c>
      <c r="AA1041">
        <f>IF(Z1041="","",IF(MATCH(SUBSTITUTE(SUBSTITUTE(SUBSTITUTE(Z1041,"~","~~"),"*","~*"),"?","~?"),$Z$5:$Z$5004,0)=1037,MAX($AA$4:AA1040)+1,""))</f>
        <v/>
      </c>
    </row>
    <row r="1042" spans="1:27">
      <c r="A1042" s="9"/>
      <c r="Z1042">
        <f>TRIM(A1042&amp;"")</f>
        <v/>
      </c>
      <c r="AA1042">
        <f>IF(Z1042="","",IF(MATCH(SUBSTITUTE(SUBSTITUTE(SUBSTITUTE(Z1042,"~","~~"),"*","~*"),"?","~?"),$Z$5:$Z$5004,0)=1038,MAX($AA$4:AA1041)+1,""))</f>
        <v/>
      </c>
    </row>
    <row r="1043" spans="1:27">
      <c r="A1043" s="9"/>
      <c r="Z1043">
        <f>TRIM(A1043&amp;"")</f>
        <v/>
      </c>
      <c r="AA1043">
        <f>IF(Z1043="","",IF(MATCH(SUBSTITUTE(SUBSTITUTE(SUBSTITUTE(Z1043,"~","~~"),"*","~*"),"?","~?"),$Z$5:$Z$5004,0)=1039,MAX($AA$4:AA1042)+1,""))</f>
        <v/>
      </c>
    </row>
    <row r="1044" spans="1:27">
      <c r="A1044" s="9"/>
      <c r="Z1044">
        <f>TRIM(A1044&amp;"")</f>
        <v/>
      </c>
      <c r="AA1044">
        <f>IF(Z1044="","",IF(MATCH(SUBSTITUTE(SUBSTITUTE(SUBSTITUTE(Z1044,"~","~~"),"*","~*"),"?","~?"),$Z$5:$Z$5004,0)=1040,MAX($AA$4:AA1043)+1,""))</f>
        <v/>
      </c>
    </row>
    <row r="1045" spans="1:27">
      <c r="A1045" s="9"/>
      <c r="Z1045">
        <f>TRIM(A1045&amp;"")</f>
        <v/>
      </c>
      <c r="AA1045">
        <f>IF(Z1045="","",IF(MATCH(SUBSTITUTE(SUBSTITUTE(SUBSTITUTE(Z1045,"~","~~"),"*","~*"),"?","~?"),$Z$5:$Z$5004,0)=1041,MAX($AA$4:AA1044)+1,""))</f>
        <v/>
      </c>
    </row>
    <row r="1046" spans="1:27">
      <c r="A1046" s="9"/>
      <c r="Z1046">
        <f>TRIM(A1046&amp;"")</f>
        <v/>
      </c>
      <c r="AA1046">
        <f>IF(Z1046="","",IF(MATCH(SUBSTITUTE(SUBSTITUTE(SUBSTITUTE(Z1046,"~","~~"),"*","~*"),"?","~?"),$Z$5:$Z$5004,0)=1042,MAX($AA$4:AA1045)+1,""))</f>
        <v/>
      </c>
    </row>
    <row r="1047" spans="1:27">
      <c r="A1047" s="9"/>
      <c r="Z1047">
        <f>TRIM(A1047&amp;"")</f>
        <v/>
      </c>
      <c r="AA1047">
        <f>IF(Z1047="","",IF(MATCH(SUBSTITUTE(SUBSTITUTE(SUBSTITUTE(Z1047,"~","~~"),"*","~*"),"?","~?"),$Z$5:$Z$5004,0)=1043,MAX($AA$4:AA1046)+1,""))</f>
        <v/>
      </c>
    </row>
    <row r="1048" spans="1:27">
      <c r="A1048" s="9"/>
      <c r="Z1048">
        <f>TRIM(A1048&amp;"")</f>
        <v/>
      </c>
      <c r="AA1048">
        <f>IF(Z1048="","",IF(MATCH(SUBSTITUTE(SUBSTITUTE(SUBSTITUTE(Z1048,"~","~~"),"*","~*"),"?","~?"),$Z$5:$Z$5004,0)=1044,MAX($AA$4:AA1047)+1,""))</f>
        <v/>
      </c>
    </row>
    <row r="1049" spans="1:27">
      <c r="A1049" s="9"/>
      <c r="Z1049">
        <f>TRIM(A1049&amp;"")</f>
        <v/>
      </c>
      <c r="AA1049">
        <f>IF(Z1049="","",IF(MATCH(SUBSTITUTE(SUBSTITUTE(SUBSTITUTE(Z1049,"~","~~"),"*","~*"),"?","~?"),$Z$5:$Z$5004,0)=1045,MAX($AA$4:AA1048)+1,""))</f>
        <v/>
      </c>
    </row>
    <row r="1050" spans="1:27">
      <c r="A1050" s="9"/>
      <c r="Z1050">
        <f>TRIM(A1050&amp;"")</f>
        <v/>
      </c>
      <c r="AA1050">
        <f>IF(Z1050="","",IF(MATCH(SUBSTITUTE(SUBSTITUTE(SUBSTITUTE(Z1050,"~","~~"),"*","~*"),"?","~?"),$Z$5:$Z$5004,0)=1046,MAX($AA$4:AA1049)+1,""))</f>
        <v/>
      </c>
    </row>
    <row r="1051" spans="1:27">
      <c r="A1051" s="9"/>
      <c r="Z1051">
        <f>TRIM(A1051&amp;"")</f>
        <v/>
      </c>
      <c r="AA1051">
        <f>IF(Z1051="","",IF(MATCH(SUBSTITUTE(SUBSTITUTE(SUBSTITUTE(Z1051,"~","~~"),"*","~*"),"?","~?"),$Z$5:$Z$5004,0)=1047,MAX($AA$4:AA1050)+1,""))</f>
        <v/>
      </c>
    </row>
    <row r="1052" spans="1:27">
      <c r="A1052" s="9"/>
      <c r="Z1052">
        <f>TRIM(A1052&amp;"")</f>
        <v/>
      </c>
      <c r="AA1052">
        <f>IF(Z1052="","",IF(MATCH(SUBSTITUTE(SUBSTITUTE(SUBSTITUTE(Z1052,"~","~~"),"*","~*"),"?","~?"),$Z$5:$Z$5004,0)=1048,MAX($AA$4:AA1051)+1,""))</f>
        <v/>
      </c>
    </row>
    <row r="1053" spans="1:27">
      <c r="A1053" s="9"/>
      <c r="Z1053">
        <f>TRIM(A1053&amp;"")</f>
        <v/>
      </c>
      <c r="AA1053">
        <f>IF(Z1053="","",IF(MATCH(SUBSTITUTE(SUBSTITUTE(SUBSTITUTE(Z1053,"~","~~"),"*","~*"),"?","~?"),$Z$5:$Z$5004,0)=1049,MAX($AA$4:AA1052)+1,""))</f>
        <v/>
      </c>
    </row>
    <row r="1054" spans="1:27">
      <c r="A1054" s="9"/>
      <c r="Z1054">
        <f>TRIM(A1054&amp;"")</f>
        <v/>
      </c>
      <c r="AA1054">
        <f>IF(Z1054="","",IF(MATCH(SUBSTITUTE(SUBSTITUTE(SUBSTITUTE(Z1054,"~","~~"),"*","~*"),"?","~?"),$Z$5:$Z$5004,0)=1050,MAX($AA$4:AA1053)+1,""))</f>
        <v/>
      </c>
    </row>
    <row r="1055" spans="1:27">
      <c r="A1055" s="9"/>
      <c r="Z1055">
        <f>TRIM(A1055&amp;"")</f>
        <v/>
      </c>
      <c r="AA1055">
        <f>IF(Z1055="","",IF(MATCH(SUBSTITUTE(SUBSTITUTE(SUBSTITUTE(Z1055,"~","~~"),"*","~*"),"?","~?"),$Z$5:$Z$5004,0)=1051,MAX($AA$4:AA1054)+1,""))</f>
        <v/>
      </c>
    </row>
    <row r="1056" spans="1:27">
      <c r="A1056" s="9"/>
      <c r="Z1056">
        <f>TRIM(A1056&amp;"")</f>
        <v/>
      </c>
      <c r="AA1056">
        <f>IF(Z1056="","",IF(MATCH(SUBSTITUTE(SUBSTITUTE(SUBSTITUTE(Z1056,"~","~~"),"*","~*"),"?","~?"),$Z$5:$Z$5004,0)=1052,MAX($AA$4:AA1055)+1,""))</f>
        <v/>
      </c>
    </row>
    <row r="1057" spans="1:27">
      <c r="A1057" s="9"/>
      <c r="Z1057">
        <f>TRIM(A1057&amp;"")</f>
        <v/>
      </c>
      <c r="AA1057">
        <f>IF(Z1057="","",IF(MATCH(SUBSTITUTE(SUBSTITUTE(SUBSTITUTE(Z1057,"~","~~"),"*","~*"),"?","~?"),$Z$5:$Z$5004,0)=1053,MAX($AA$4:AA1056)+1,""))</f>
        <v/>
      </c>
    </row>
    <row r="1058" spans="1:27">
      <c r="A1058" s="9"/>
      <c r="Z1058">
        <f>TRIM(A1058&amp;"")</f>
        <v/>
      </c>
      <c r="AA1058">
        <f>IF(Z1058="","",IF(MATCH(SUBSTITUTE(SUBSTITUTE(SUBSTITUTE(Z1058,"~","~~"),"*","~*"),"?","~?"),$Z$5:$Z$5004,0)=1054,MAX($AA$4:AA1057)+1,""))</f>
        <v/>
      </c>
    </row>
    <row r="1059" spans="1:27">
      <c r="A1059" s="9"/>
      <c r="Z1059">
        <f>TRIM(A1059&amp;"")</f>
        <v/>
      </c>
      <c r="AA1059">
        <f>IF(Z1059="","",IF(MATCH(SUBSTITUTE(SUBSTITUTE(SUBSTITUTE(Z1059,"~","~~"),"*","~*"),"?","~?"),$Z$5:$Z$5004,0)=1055,MAX($AA$4:AA1058)+1,""))</f>
        <v/>
      </c>
    </row>
    <row r="1060" spans="1:27">
      <c r="A1060" s="9"/>
      <c r="Z1060">
        <f>TRIM(A1060&amp;"")</f>
        <v/>
      </c>
      <c r="AA1060">
        <f>IF(Z1060="","",IF(MATCH(SUBSTITUTE(SUBSTITUTE(SUBSTITUTE(Z1060,"~","~~"),"*","~*"),"?","~?"),$Z$5:$Z$5004,0)=1056,MAX($AA$4:AA1059)+1,""))</f>
        <v/>
      </c>
    </row>
    <row r="1061" spans="1:27">
      <c r="A1061" s="9"/>
      <c r="Z1061">
        <f>TRIM(A1061&amp;"")</f>
        <v/>
      </c>
      <c r="AA1061">
        <f>IF(Z1061="","",IF(MATCH(SUBSTITUTE(SUBSTITUTE(SUBSTITUTE(Z1061,"~","~~"),"*","~*"),"?","~?"),$Z$5:$Z$5004,0)=1057,MAX($AA$4:AA1060)+1,""))</f>
        <v/>
      </c>
    </row>
    <row r="1062" spans="1:27">
      <c r="A1062" s="9"/>
      <c r="Z1062">
        <f>TRIM(A1062&amp;"")</f>
        <v/>
      </c>
      <c r="AA1062">
        <f>IF(Z1062="","",IF(MATCH(SUBSTITUTE(SUBSTITUTE(SUBSTITUTE(Z1062,"~","~~"),"*","~*"),"?","~?"),$Z$5:$Z$5004,0)=1058,MAX($AA$4:AA1061)+1,""))</f>
        <v/>
      </c>
    </row>
    <row r="1063" spans="1:27">
      <c r="A1063" s="9"/>
      <c r="Z1063">
        <f>TRIM(A1063&amp;"")</f>
        <v/>
      </c>
      <c r="AA1063">
        <f>IF(Z1063="","",IF(MATCH(SUBSTITUTE(SUBSTITUTE(SUBSTITUTE(Z1063,"~","~~"),"*","~*"),"?","~?"),$Z$5:$Z$5004,0)=1059,MAX($AA$4:AA1062)+1,""))</f>
        <v/>
      </c>
    </row>
    <row r="1064" spans="1:27">
      <c r="A1064" s="9"/>
      <c r="Z1064">
        <f>TRIM(A1064&amp;"")</f>
        <v/>
      </c>
      <c r="AA1064">
        <f>IF(Z1064="","",IF(MATCH(SUBSTITUTE(SUBSTITUTE(SUBSTITUTE(Z1064,"~","~~"),"*","~*"),"?","~?"),$Z$5:$Z$5004,0)=1060,MAX($AA$4:AA1063)+1,""))</f>
        <v/>
      </c>
    </row>
    <row r="1065" spans="1:27">
      <c r="A1065" s="9"/>
      <c r="Z1065">
        <f>TRIM(A1065&amp;"")</f>
        <v/>
      </c>
      <c r="AA1065">
        <f>IF(Z1065="","",IF(MATCH(SUBSTITUTE(SUBSTITUTE(SUBSTITUTE(Z1065,"~","~~"),"*","~*"),"?","~?"),$Z$5:$Z$5004,0)=1061,MAX($AA$4:AA1064)+1,""))</f>
        <v/>
      </c>
    </row>
    <row r="1066" spans="1:27">
      <c r="A1066" s="9"/>
      <c r="Z1066">
        <f>TRIM(A1066&amp;"")</f>
        <v/>
      </c>
      <c r="AA1066">
        <f>IF(Z1066="","",IF(MATCH(SUBSTITUTE(SUBSTITUTE(SUBSTITUTE(Z1066,"~","~~"),"*","~*"),"?","~?"),$Z$5:$Z$5004,0)=1062,MAX($AA$4:AA1065)+1,""))</f>
        <v/>
      </c>
    </row>
    <row r="1067" spans="1:27">
      <c r="A1067" s="9"/>
      <c r="Z1067">
        <f>TRIM(A1067&amp;"")</f>
        <v/>
      </c>
      <c r="AA1067">
        <f>IF(Z1067="","",IF(MATCH(SUBSTITUTE(SUBSTITUTE(SUBSTITUTE(Z1067,"~","~~"),"*","~*"),"?","~?"),$Z$5:$Z$5004,0)=1063,MAX($AA$4:AA1066)+1,""))</f>
        <v/>
      </c>
    </row>
    <row r="1068" spans="1:27">
      <c r="A1068" s="9"/>
      <c r="Z1068">
        <f>TRIM(A1068&amp;"")</f>
        <v/>
      </c>
      <c r="AA1068">
        <f>IF(Z1068="","",IF(MATCH(SUBSTITUTE(SUBSTITUTE(SUBSTITUTE(Z1068,"~","~~"),"*","~*"),"?","~?"),$Z$5:$Z$5004,0)=1064,MAX($AA$4:AA1067)+1,""))</f>
        <v/>
      </c>
    </row>
    <row r="1069" spans="1:27">
      <c r="A1069" s="9"/>
      <c r="Z1069">
        <f>TRIM(A1069&amp;"")</f>
        <v/>
      </c>
      <c r="AA1069">
        <f>IF(Z1069="","",IF(MATCH(SUBSTITUTE(SUBSTITUTE(SUBSTITUTE(Z1069,"~","~~"),"*","~*"),"?","~?"),$Z$5:$Z$5004,0)=1065,MAX($AA$4:AA1068)+1,""))</f>
        <v/>
      </c>
    </row>
    <row r="1070" spans="1:27">
      <c r="A1070" s="9"/>
      <c r="Z1070">
        <f>TRIM(A1070&amp;"")</f>
        <v/>
      </c>
      <c r="AA1070">
        <f>IF(Z1070="","",IF(MATCH(SUBSTITUTE(SUBSTITUTE(SUBSTITUTE(Z1070,"~","~~"),"*","~*"),"?","~?"),$Z$5:$Z$5004,0)=1066,MAX($AA$4:AA1069)+1,""))</f>
        <v/>
      </c>
    </row>
    <row r="1071" spans="1:27">
      <c r="A1071" s="9"/>
      <c r="Z1071">
        <f>TRIM(A1071&amp;"")</f>
        <v/>
      </c>
      <c r="AA1071">
        <f>IF(Z1071="","",IF(MATCH(SUBSTITUTE(SUBSTITUTE(SUBSTITUTE(Z1071,"~","~~"),"*","~*"),"?","~?"),$Z$5:$Z$5004,0)=1067,MAX($AA$4:AA1070)+1,""))</f>
        <v/>
      </c>
    </row>
    <row r="1072" spans="1:27">
      <c r="A1072" s="9"/>
      <c r="Z1072">
        <f>TRIM(A1072&amp;"")</f>
        <v/>
      </c>
      <c r="AA1072">
        <f>IF(Z1072="","",IF(MATCH(SUBSTITUTE(SUBSTITUTE(SUBSTITUTE(Z1072,"~","~~"),"*","~*"),"?","~?"),$Z$5:$Z$5004,0)=1068,MAX($AA$4:AA1071)+1,""))</f>
        <v/>
      </c>
    </row>
    <row r="1073" spans="1:27">
      <c r="A1073" s="9"/>
      <c r="Z1073">
        <f>TRIM(A1073&amp;"")</f>
        <v/>
      </c>
      <c r="AA1073">
        <f>IF(Z1073="","",IF(MATCH(SUBSTITUTE(SUBSTITUTE(SUBSTITUTE(Z1073,"~","~~"),"*","~*"),"?","~?"),$Z$5:$Z$5004,0)=1069,MAX($AA$4:AA1072)+1,""))</f>
        <v/>
      </c>
    </row>
    <row r="1074" spans="1:27">
      <c r="A1074" s="9"/>
      <c r="Z1074">
        <f>TRIM(A1074&amp;"")</f>
        <v/>
      </c>
      <c r="AA1074">
        <f>IF(Z1074="","",IF(MATCH(SUBSTITUTE(SUBSTITUTE(SUBSTITUTE(Z1074,"~","~~"),"*","~*"),"?","~?"),$Z$5:$Z$5004,0)=1070,MAX($AA$4:AA1073)+1,""))</f>
        <v/>
      </c>
    </row>
    <row r="1075" spans="1:27">
      <c r="A1075" s="9"/>
      <c r="Z1075">
        <f>TRIM(A1075&amp;"")</f>
        <v/>
      </c>
      <c r="AA1075">
        <f>IF(Z1075="","",IF(MATCH(SUBSTITUTE(SUBSTITUTE(SUBSTITUTE(Z1075,"~","~~"),"*","~*"),"?","~?"),$Z$5:$Z$5004,0)=1071,MAX($AA$4:AA1074)+1,""))</f>
        <v/>
      </c>
    </row>
    <row r="1076" spans="1:27">
      <c r="A1076" s="9"/>
      <c r="Z1076">
        <f>TRIM(A1076&amp;"")</f>
        <v/>
      </c>
      <c r="AA1076">
        <f>IF(Z1076="","",IF(MATCH(SUBSTITUTE(SUBSTITUTE(SUBSTITUTE(Z1076,"~","~~"),"*","~*"),"?","~?"),$Z$5:$Z$5004,0)=1072,MAX($AA$4:AA1075)+1,""))</f>
        <v/>
      </c>
    </row>
    <row r="1077" spans="1:27">
      <c r="A1077" s="9"/>
      <c r="Z1077">
        <f>TRIM(A1077&amp;"")</f>
        <v/>
      </c>
      <c r="AA1077">
        <f>IF(Z1077="","",IF(MATCH(SUBSTITUTE(SUBSTITUTE(SUBSTITUTE(Z1077,"~","~~"),"*","~*"),"?","~?"),$Z$5:$Z$5004,0)=1073,MAX($AA$4:AA1076)+1,""))</f>
        <v/>
      </c>
    </row>
    <row r="1078" spans="1:27">
      <c r="A1078" s="9"/>
      <c r="Z1078">
        <f>TRIM(A1078&amp;"")</f>
        <v/>
      </c>
      <c r="AA1078">
        <f>IF(Z1078="","",IF(MATCH(SUBSTITUTE(SUBSTITUTE(SUBSTITUTE(Z1078,"~","~~"),"*","~*"),"?","~?"),$Z$5:$Z$5004,0)=1074,MAX($AA$4:AA1077)+1,""))</f>
        <v/>
      </c>
    </row>
    <row r="1079" spans="1:27">
      <c r="A1079" s="9"/>
      <c r="Z1079">
        <f>TRIM(A1079&amp;"")</f>
        <v/>
      </c>
      <c r="AA1079">
        <f>IF(Z1079="","",IF(MATCH(SUBSTITUTE(SUBSTITUTE(SUBSTITUTE(Z1079,"~","~~"),"*","~*"),"?","~?"),$Z$5:$Z$5004,0)=1075,MAX($AA$4:AA1078)+1,""))</f>
        <v/>
      </c>
    </row>
    <row r="1080" spans="1:27">
      <c r="A1080" s="9"/>
      <c r="Z1080">
        <f>TRIM(A1080&amp;"")</f>
        <v/>
      </c>
      <c r="AA1080">
        <f>IF(Z1080="","",IF(MATCH(SUBSTITUTE(SUBSTITUTE(SUBSTITUTE(Z1080,"~","~~"),"*","~*"),"?","~?"),$Z$5:$Z$5004,0)=1076,MAX($AA$4:AA1079)+1,""))</f>
        <v/>
      </c>
    </row>
    <row r="1081" spans="1:27">
      <c r="A1081" s="9"/>
      <c r="Z1081">
        <f>TRIM(A1081&amp;"")</f>
        <v/>
      </c>
      <c r="AA1081">
        <f>IF(Z1081="","",IF(MATCH(SUBSTITUTE(SUBSTITUTE(SUBSTITUTE(Z1081,"~","~~"),"*","~*"),"?","~?"),$Z$5:$Z$5004,0)=1077,MAX($AA$4:AA1080)+1,""))</f>
        <v/>
      </c>
    </row>
    <row r="1082" spans="1:27">
      <c r="A1082" s="9"/>
      <c r="Z1082">
        <f>TRIM(A1082&amp;"")</f>
        <v/>
      </c>
      <c r="AA1082">
        <f>IF(Z1082="","",IF(MATCH(SUBSTITUTE(SUBSTITUTE(SUBSTITUTE(Z1082,"~","~~"),"*","~*"),"?","~?"),$Z$5:$Z$5004,0)=1078,MAX($AA$4:AA1081)+1,""))</f>
        <v/>
      </c>
    </row>
    <row r="1083" spans="1:27">
      <c r="A1083" s="9"/>
      <c r="Z1083">
        <f>TRIM(A1083&amp;"")</f>
        <v/>
      </c>
      <c r="AA1083">
        <f>IF(Z1083="","",IF(MATCH(SUBSTITUTE(SUBSTITUTE(SUBSTITUTE(Z1083,"~","~~"),"*","~*"),"?","~?"),$Z$5:$Z$5004,0)=1079,MAX($AA$4:AA1082)+1,""))</f>
        <v/>
      </c>
    </row>
    <row r="1084" spans="1:27">
      <c r="A1084" s="9"/>
      <c r="Z1084">
        <f>TRIM(A1084&amp;"")</f>
        <v/>
      </c>
      <c r="AA1084">
        <f>IF(Z1084="","",IF(MATCH(SUBSTITUTE(SUBSTITUTE(SUBSTITUTE(Z1084,"~","~~"),"*","~*"),"?","~?"),$Z$5:$Z$5004,0)=1080,MAX($AA$4:AA1083)+1,""))</f>
        <v/>
      </c>
    </row>
    <row r="1085" spans="1:27">
      <c r="A1085" s="9"/>
      <c r="Z1085">
        <f>TRIM(A1085&amp;"")</f>
        <v/>
      </c>
      <c r="AA1085">
        <f>IF(Z1085="","",IF(MATCH(SUBSTITUTE(SUBSTITUTE(SUBSTITUTE(Z1085,"~","~~"),"*","~*"),"?","~?"),$Z$5:$Z$5004,0)=1081,MAX($AA$4:AA1084)+1,""))</f>
        <v/>
      </c>
    </row>
    <row r="1086" spans="1:27">
      <c r="A1086" s="9"/>
      <c r="Z1086">
        <f>TRIM(A1086&amp;"")</f>
        <v/>
      </c>
      <c r="AA1086">
        <f>IF(Z1086="","",IF(MATCH(SUBSTITUTE(SUBSTITUTE(SUBSTITUTE(Z1086,"~","~~"),"*","~*"),"?","~?"),$Z$5:$Z$5004,0)=1082,MAX($AA$4:AA1085)+1,""))</f>
        <v/>
      </c>
    </row>
    <row r="1087" spans="1:27">
      <c r="A1087" s="9"/>
      <c r="Z1087">
        <f>TRIM(A1087&amp;"")</f>
        <v/>
      </c>
      <c r="AA1087">
        <f>IF(Z1087="","",IF(MATCH(SUBSTITUTE(SUBSTITUTE(SUBSTITUTE(Z1087,"~","~~"),"*","~*"),"?","~?"),$Z$5:$Z$5004,0)=1083,MAX($AA$4:AA1086)+1,""))</f>
        <v/>
      </c>
    </row>
    <row r="1088" spans="1:27">
      <c r="A1088" s="9"/>
      <c r="Z1088">
        <f>TRIM(A1088&amp;"")</f>
        <v/>
      </c>
      <c r="AA1088">
        <f>IF(Z1088="","",IF(MATCH(SUBSTITUTE(SUBSTITUTE(SUBSTITUTE(Z1088,"~","~~"),"*","~*"),"?","~?"),$Z$5:$Z$5004,0)=1084,MAX($AA$4:AA1087)+1,""))</f>
        <v/>
      </c>
    </row>
    <row r="1089" spans="1:27">
      <c r="A1089" s="9"/>
      <c r="Z1089">
        <f>TRIM(A1089&amp;"")</f>
        <v/>
      </c>
      <c r="AA1089">
        <f>IF(Z1089="","",IF(MATCH(SUBSTITUTE(SUBSTITUTE(SUBSTITUTE(Z1089,"~","~~"),"*","~*"),"?","~?"),$Z$5:$Z$5004,0)=1085,MAX($AA$4:AA1088)+1,""))</f>
        <v/>
      </c>
    </row>
    <row r="1090" spans="1:27">
      <c r="A1090" s="9"/>
      <c r="Z1090">
        <f>TRIM(A1090&amp;"")</f>
        <v/>
      </c>
      <c r="AA1090">
        <f>IF(Z1090="","",IF(MATCH(SUBSTITUTE(SUBSTITUTE(SUBSTITUTE(Z1090,"~","~~"),"*","~*"),"?","~?"),$Z$5:$Z$5004,0)=1086,MAX($AA$4:AA1089)+1,""))</f>
        <v/>
      </c>
    </row>
    <row r="1091" spans="1:27">
      <c r="A1091" s="9"/>
      <c r="Z1091">
        <f>TRIM(A1091&amp;"")</f>
        <v/>
      </c>
      <c r="AA1091">
        <f>IF(Z1091="","",IF(MATCH(SUBSTITUTE(SUBSTITUTE(SUBSTITUTE(Z1091,"~","~~"),"*","~*"),"?","~?"),$Z$5:$Z$5004,0)=1087,MAX($AA$4:AA1090)+1,""))</f>
        <v/>
      </c>
    </row>
    <row r="1092" spans="1:27">
      <c r="A1092" s="9"/>
      <c r="Z1092">
        <f>TRIM(A1092&amp;"")</f>
        <v/>
      </c>
      <c r="AA1092">
        <f>IF(Z1092="","",IF(MATCH(SUBSTITUTE(SUBSTITUTE(SUBSTITUTE(Z1092,"~","~~"),"*","~*"),"?","~?"),$Z$5:$Z$5004,0)=1088,MAX($AA$4:AA1091)+1,""))</f>
        <v/>
      </c>
    </row>
    <row r="1093" spans="1:27">
      <c r="A1093" s="9"/>
      <c r="Z1093">
        <f>TRIM(A1093&amp;"")</f>
        <v/>
      </c>
      <c r="AA1093">
        <f>IF(Z1093="","",IF(MATCH(SUBSTITUTE(SUBSTITUTE(SUBSTITUTE(Z1093,"~","~~"),"*","~*"),"?","~?"),$Z$5:$Z$5004,0)=1089,MAX($AA$4:AA1092)+1,""))</f>
        <v/>
      </c>
    </row>
    <row r="1094" spans="1:27">
      <c r="A1094" s="9"/>
      <c r="Z1094">
        <f>TRIM(A1094&amp;"")</f>
        <v/>
      </c>
      <c r="AA1094">
        <f>IF(Z1094="","",IF(MATCH(SUBSTITUTE(SUBSTITUTE(SUBSTITUTE(Z1094,"~","~~"),"*","~*"),"?","~?"),$Z$5:$Z$5004,0)=1090,MAX($AA$4:AA1093)+1,""))</f>
        <v/>
      </c>
    </row>
    <row r="1095" spans="1:27">
      <c r="A1095" s="9"/>
      <c r="Z1095">
        <f>TRIM(A1095&amp;"")</f>
        <v/>
      </c>
      <c r="AA1095">
        <f>IF(Z1095="","",IF(MATCH(SUBSTITUTE(SUBSTITUTE(SUBSTITUTE(Z1095,"~","~~"),"*","~*"),"?","~?"),$Z$5:$Z$5004,0)=1091,MAX($AA$4:AA1094)+1,""))</f>
        <v/>
      </c>
    </row>
    <row r="1096" spans="1:27">
      <c r="A1096" s="9"/>
      <c r="Z1096">
        <f>TRIM(A1096&amp;"")</f>
        <v/>
      </c>
      <c r="AA1096">
        <f>IF(Z1096="","",IF(MATCH(SUBSTITUTE(SUBSTITUTE(SUBSTITUTE(Z1096,"~","~~"),"*","~*"),"?","~?"),$Z$5:$Z$5004,0)=1092,MAX($AA$4:AA1095)+1,""))</f>
        <v/>
      </c>
    </row>
    <row r="1097" spans="1:27">
      <c r="A1097" s="9"/>
      <c r="Z1097">
        <f>TRIM(A1097&amp;"")</f>
        <v/>
      </c>
      <c r="AA1097">
        <f>IF(Z1097="","",IF(MATCH(SUBSTITUTE(SUBSTITUTE(SUBSTITUTE(Z1097,"~","~~"),"*","~*"),"?","~?"),$Z$5:$Z$5004,0)=1093,MAX($AA$4:AA1096)+1,""))</f>
        <v/>
      </c>
    </row>
    <row r="1098" spans="1:27">
      <c r="A1098" s="9"/>
      <c r="Z1098">
        <f>TRIM(A1098&amp;"")</f>
        <v/>
      </c>
      <c r="AA1098">
        <f>IF(Z1098="","",IF(MATCH(SUBSTITUTE(SUBSTITUTE(SUBSTITUTE(Z1098,"~","~~"),"*","~*"),"?","~?"),$Z$5:$Z$5004,0)=1094,MAX($AA$4:AA1097)+1,""))</f>
        <v/>
      </c>
    </row>
    <row r="1099" spans="1:27">
      <c r="A1099" s="9"/>
      <c r="Z1099">
        <f>TRIM(A1099&amp;"")</f>
        <v/>
      </c>
      <c r="AA1099">
        <f>IF(Z1099="","",IF(MATCH(SUBSTITUTE(SUBSTITUTE(SUBSTITUTE(Z1099,"~","~~"),"*","~*"),"?","~?"),$Z$5:$Z$5004,0)=1095,MAX($AA$4:AA1098)+1,""))</f>
        <v/>
      </c>
    </row>
    <row r="1100" spans="1:27">
      <c r="A1100" s="9"/>
      <c r="Z1100">
        <f>TRIM(A1100&amp;"")</f>
        <v/>
      </c>
      <c r="AA1100">
        <f>IF(Z1100="","",IF(MATCH(SUBSTITUTE(SUBSTITUTE(SUBSTITUTE(Z1100,"~","~~"),"*","~*"),"?","~?"),$Z$5:$Z$5004,0)=1096,MAX($AA$4:AA1099)+1,""))</f>
        <v/>
      </c>
    </row>
    <row r="1101" spans="1:27">
      <c r="A1101" s="9"/>
      <c r="Z1101">
        <f>TRIM(A1101&amp;"")</f>
        <v/>
      </c>
      <c r="AA1101">
        <f>IF(Z1101="","",IF(MATCH(SUBSTITUTE(SUBSTITUTE(SUBSTITUTE(Z1101,"~","~~"),"*","~*"),"?","~?"),$Z$5:$Z$5004,0)=1097,MAX($AA$4:AA1100)+1,""))</f>
        <v/>
      </c>
    </row>
    <row r="1102" spans="1:27">
      <c r="A1102" s="9"/>
      <c r="Z1102">
        <f>TRIM(A1102&amp;"")</f>
        <v/>
      </c>
      <c r="AA1102">
        <f>IF(Z1102="","",IF(MATCH(SUBSTITUTE(SUBSTITUTE(SUBSTITUTE(Z1102,"~","~~"),"*","~*"),"?","~?"),$Z$5:$Z$5004,0)=1098,MAX($AA$4:AA1101)+1,""))</f>
        <v/>
      </c>
    </row>
    <row r="1103" spans="1:27">
      <c r="A1103" s="9"/>
      <c r="Z1103">
        <f>TRIM(A1103&amp;"")</f>
        <v/>
      </c>
      <c r="AA1103">
        <f>IF(Z1103="","",IF(MATCH(SUBSTITUTE(SUBSTITUTE(SUBSTITUTE(Z1103,"~","~~"),"*","~*"),"?","~?"),$Z$5:$Z$5004,0)=1099,MAX($AA$4:AA1102)+1,""))</f>
        <v/>
      </c>
    </row>
    <row r="1104" spans="1:27">
      <c r="A1104" s="9"/>
      <c r="Z1104">
        <f>TRIM(A1104&amp;"")</f>
        <v/>
      </c>
      <c r="AA1104">
        <f>IF(Z1104="","",IF(MATCH(SUBSTITUTE(SUBSTITUTE(SUBSTITUTE(Z1104,"~","~~"),"*","~*"),"?","~?"),$Z$5:$Z$5004,0)=1100,MAX($AA$4:AA1103)+1,""))</f>
        <v/>
      </c>
    </row>
    <row r="1105" spans="1:27">
      <c r="A1105" s="9"/>
      <c r="Z1105">
        <f>TRIM(A1105&amp;"")</f>
        <v/>
      </c>
      <c r="AA1105">
        <f>IF(Z1105="","",IF(MATCH(SUBSTITUTE(SUBSTITUTE(SUBSTITUTE(Z1105,"~","~~"),"*","~*"),"?","~?"),$Z$5:$Z$5004,0)=1101,MAX($AA$4:AA1104)+1,""))</f>
        <v/>
      </c>
    </row>
    <row r="1106" spans="1:27">
      <c r="A1106" s="9"/>
      <c r="Z1106">
        <f>TRIM(A1106&amp;"")</f>
        <v/>
      </c>
      <c r="AA1106">
        <f>IF(Z1106="","",IF(MATCH(SUBSTITUTE(SUBSTITUTE(SUBSTITUTE(Z1106,"~","~~"),"*","~*"),"?","~?"),$Z$5:$Z$5004,0)=1102,MAX($AA$4:AA1105)+1,""))</f>
        <v/>
      </c>
    </row>
    <row r="1107" spans="1:27">
      <c r="A1107" s="9"/>
      <c r="Z1107">
        <f>TRIM(A1107&amp;"")</f>
        <v/>
      </c>
      <c r="AA1107">
        <f>IF(Z1107="","",IF(MATCH(SUBSTITUTE(SUBSTITUTE(SUBSTITUTE(Z1107,"~","~~"),"*","~*"),"?","~?"),$Z$5:$Z$5004,0)=1103,MAX($AA$4:AA1106)+1,""))</f>
        <v/>
      </c>
    </row>
    <row r="1108" spans="1:27">
      <c r="A1108" s="9"/>
      <c r="Z1108">
        <f>TRIM(A1108&amp;"")</f>
        <v/>
      </c>
      <c r="AA1108">
        <f>IF(Z1108="","",IF(MATCH(SUBSTITUTE(SUBSTITUTE(SUBSTITUTE(Z1108,"~","~~"),"*","~*"),"?","~?"),$Z$5:$Z$5004,0)=1104,MAX($AA$4:AA1107)+1,""))</f>
        <v/>
      </c>
    </row>
    <row r="1109" spans="1:27">
      <c r="A1109" s="9"/>
      <c r="Z1109">
        <f>TRIM(A1109&amp;"")</f>
        <v/>
      </c>
      <c r="AA1109">
        <f>IF(Z1109="","",IF(MATCH(SUBSTITUTE(SUBSTITUTE(SUBSTITUTE(Z1109,"~","~~"),"*","~*"),"?","~?"),$Z$5:$Z$5004,0)=1105,MAX($AA$4:AA1108)+1,""))</f>
        <v/>
      </c>
    </row>
    <row r="1110" spans="1:27">
      <c r="A1110" s="9"/>
      <c r="Z1110">
        <f>TRIM(A1110&amp;"")</f>
        <v/>
      </c>
      <c r="AA1110">
        <f>IF(Z1110="","",IF(MATCH(SUBSTITUTE(SUBSTITUTE(SUBSTITUTE(Z1110,"~","~~"),"*","~*"),"?","~?"),$Z$5:$Z$5004,0)=1106,MAX($AA$4:AA1109)+1,""))</f>
        <v/>
      </c>
    </row>
    <row r="1111" spans="1:27">
      <c r="A1111" s="9"/>
      <c r="Z1111">
        <f>TRIM(A1111&amp;"")</f>
        <v/>
      </c>
      <c r="AA1111">
        <f>IF(Z1111="","",IF(MATCH(SUBSTITUTE(SUBSTITUTE(SUBSTITUTE(Z1111,"~","~~"),"*","~*"),"?","~?"),$Z$5:$Z$5004,0)=1107,MAX($AA$4:AA1110)+1,""))</f>
        <v/>
      </c>
    </row>
    <row r="1112" spans="1:27">
      <c r="A1112" s="9"/>
      <c r="Z1112">
        <f>TRIM(A1112&amp;"")</f>
        <v/>
      </c>
      <c r="AA1112">
        <f>IF(Z1112="","",IF(MATCH(SUBSTITUTE(SUBSTITUTE(SUBSTITUTE(Z1112,"~","~~"),"*","~*"),"?","~?"),$Z$5:$Z$5004,0)=1108,MAX($AA$4:AA1111)+1,""))</f>
        <v/>
      </c>
    </row>
    <row r="1113" spans="1:27">
      <c r="A1113" s="9"/>
      <c r="Z1113">
        <f>TRIM(A1113&amp;"")</f>
        <v/>
      </c>
      <c r="AA1113">
        <f>IF(Z1113="","",IF(MATCH(SUBSTITUTE(SUBSTITUTE(SUBSTITUTE(Z1113,"~","~~"),"*","~*"),"?","~?"),$Z$5:$Z$5004,0)=1109,MAX($AA$4:AA1112)+1,""))</f>
        <v/>
      </c>
    </row>
    <row r="1114" spans="1:27">
      <c r="A1114" s="9"/>
      <c r="Z1114">
        <f>TRIM(A1114&amp;"")</f>
        <v/>
      </c>
      <c r="AA1114">
        <f>IF(Z1114="","",IF(MATCH(SUBSTITUTE(SUBSTITUTE(SUBSTITUTE(Z1114,"~","~~"),"*","~*"),"?","~?"),$Z$5:$Z$5004,0)=1110,MAX($AA$4:AA1113)+1,""))</f>
        <v/>
      </c>
    </row>
    <row r="1115" spans="1:27">
      <c r="A1115" s="9"/>
      <c r="Z1115">
        <f>TRIM(A1115&amp;"")</f>
        <v/>
      </c>
      <c r="AA1115">
        <f>IF(Z1115="","",IF(MATCH(SUBSTITUTE(SUBSTITUTE(SUBSTITUTE(Z1115,"~","~~"),"*","~*"),"?","~?"),$Z$5:$Z$5004,0)=1111,MAX($AA$4:AA1114)+1,""))</f>
        <v/>
      </c>
    </row>
    <row r="1116" spans="1:27">
      <c r="A1116" s="9"/>
      <c r="Z1116">
        <f>TRIM(A1116&amp;"")</f>
        <v/>
      </c>
      <c r="AA1116">
        <f>IF(Z1116="","",IF(MATCH(SUBSTITUTE(SUBSTITUTE(SUBSTITUTE(Z1116,"~","~~"),"*","~*"),"?","~?"),$Z$5:$Z$5004,0)=1112,MAX($AA$4:AA1115)+1,""))</f>
        <v/>
      </c>
    </row>
    <row r="1117" spans="1:27">
      <c r="A1117" s="9"/>
      <c r="Z1117">
        <f>TRIM(A1117&amp;"")</f>
        <v/>
      </c>
      <c r="AA1117">
        <f>IF(Z1117="","",IF(MATCH(SUBSTITUTE(SUBSTITUTE(SUBSTITUTE(Z1117,"~","~~"),"*","~*"),"?","~?"),$Z$5:$Z$5004,0)=1113,MAX($AA$4:AA1116)+1,""))</f>
        <v/>
      </c>
    </row>
    <row r="1118" spans="1:27">
      <c r="A1118" s="9"/>
      <c r="Z1118">
        <f>TRIM(A1118&amp;"")</f>
        <v/>
      </c>
      <c r="AA1118">
        <f>IF(Z1118="","",IF(MATCH(SUBSTITUTE(SUBSTITUTE(SUBSTITUTE(Z1118,"~","~~"),"*","~*"),"?","~?"),$Z$5:$Z$5004,0)=1114,MAX($AA$4:AA1117)+1,""))</f>
        <v/>
      </c>
    </row>
    <row r="1119" spans="1:27">
      <c r="A1119" s="9"/>
      <c r="Z1119">
        <f>TRIM(A1119&amp;"")</f>
        <v/>
      </c>
      <c r="AA1119">
        <f>IF(Z1119="","",IF(MATCH(SUBSTITUTE(SUBSTITUTE(SUBSTITUTE(Z1119,"~","~~"),"*","~*"),"?","~?"),$Z$5:$Z$5004,0)=1115,MAX($AA$4:AA1118)+1,""))</f>
        <v/>
      </c>
    </row>
    <row r="1120" spans="1:27">
      <c r="A1120" s="9"/>
      <c r="Z1120">
        <f>TRIM(A1120&amp;"")</f>
        <v/>
      </c>
      <c r="AA1120">
        <f>IF(Z1120="","",IF(MATCH(SUBSTITUTE(SUBSTITUTE(SUBSTITUTE(Z1120,"~","~~"),"*","~*"),"?","~?"),$Z$5:$Z$5004,0)=1116,MAX($AA$4:AA1119)+1,""))</f>
        <v/>
      </c>
    </row>
    <row r="1121" spans="1:27">
      <c r="A1121" s="9"/>
      <c r="Z1121">
        <f>TRIM(A1121&amp;"")</f>
        <v/>
      </c>
      <c r="AA1121">
        <f>IF(Z1121="","",IF(MATCH(SUBSTITUTE(SUBSTITUTE(SUBSTITUTE(Z1121,"~","~~"),"*","~*"),"?","~?"),$Z$5:$Z$5004,0)=1117,MAX($AA$4:AA1120)+1,""))</f>
        <v/>
      </c>
    </row>
    <row r="1122" spans="1:27">
      <c r="A1122" s="9"/>
      <c r="Z1122">
        <f>TRIM(A1122&amp;"")</f>
        <v/>
      </c>
      <c r="AA1122">
        <f>IF(Z1122="","",IF(MATCH(SUBSTITUTE(SUBSTITUTE(SUBSTITUTE(Z1122,"~","~~"),"*","~*"),"?","~?"),$Z$5:$Z$5004,0)=1118,MAX($AA$4:AA1121)+1,""))</f>
        <v/>
      </c>
    </row>
    <row r="1123" spans="1:27">
      <c r="A1123" s="9"/>
      <c r="Z1123">
        <f>TRIM(A1123&amp;"")</f>
        <v/>
      </c>
      <c r="AA1123">
        <f>IF(Z1123="","",IF(MATCH(SUBSTITUTE(SUBSTITUTE(SUBSTITUTE(Z1123,"~","~~"),"*","~*"),"?","~?"),$Z$5:$Z$5004,0)=1119,MAX($AA$4:AA1122)+1,""))</f>
        <v/>
      </c>
    </row>
    <row r="1124" spans="1:27">
      <c r="A1124" s="9"/>
      <c r="Z1124">
        <f>TRIM(A1124&amp;"")</f>
        <v/>
      </c>
      <c r="AA1124">
        <f>IF(Z1124="","",IF(MATCH(SUBSTITUTE(SUBSTITUTE(SUBSTITUTE(Z1124,"~","~~"),"*","~*"),"?","~?"),$Z$5:$Z$5004,0)=1120,MAX($AA$4:AA1123)+1,""))</f>
        <v/>
      </c>
    </row>
    <row r="1125" spans="1:27">
      <c r="A1125" s="9"/>
      <c r="Z1125">
        <f>TRIM(A1125&amp;"")</f>
        <v/>
      </c>
      <c r="AA1125">
        <f>IF(Z1125="","",IF(MATCH(SUBSTITUTE(SUBSTITUTE(SUBSTITUTE(Z1125,"~","~~"),"*","~*"),"?","~?"),$Z$5:$Z$5004,0)=1121,MAX($AA$4:AA1124)+1,""))</f>
        <v/>
      </c>
    </row>
    <row r="1126" spans="1:27">
      <c r="A1126" s="9"/>
      <c r="Z1126">
        <f>TRIM(A1126&amp;"")</f>
        <v/>
      </c>
      <c r="AA1126">
        <f>IF(Z1126="","",IF(MATCH(SUBSTITUTE(SUBSTITUTE(SUBSTITUTE(Z1126,"~","~~"),"*","~*"),"?","~?"),$Z$5:$Z$5004,0)=1122,MAX($AA$4:AA1125)+1,""))</f>
        <v/>
      </c>
    </row>
    <row r="1127" spans="1:27">
      <c r="A1127" s="9"/>
      <c r="Z1127">
        <f>TRIM(A1127&amp;"")</f>
        <v/>
      </c>
      <c r="AA1127">
        <f>IF(Z1127="","",IF(MATCH(SUBSTITUTE(SUBSTITUTE(SUBSTITUTE(Z1127,"~","~~"),"*","~*"),"?","~?"),$Z$5:$Z$5004,0)=1123,MAX($AA$4:AA1126)+1,""))</f>
        <v/>
      </c>
    </row>
    <row r="1128" spans="1:27">
      <c r="A1128" s="9"/>
      <c r="Z1128">
        <f>TRIM(A1128&amp;"")</f>
        <v/>
      </c>
      <c r="AA1128">
        <f>IF(Z1128="","",IF(MATCH(SUBSTITUTE(SUBSTITUTE(SUBSTITUTE(Z1128,"~","~~"),"*","~*"),"?","~?"),$Z$5:$Z$5004,0)=1124,MAX($AA$4:AA1127)+1,""))</f>
        <v/>
      </c>
    </row>
    <row r="1129" spans="1:27">
      <c r="A1129" s="9"/>
      <c r="Z1129">
        <f>TRIM(A1129&amp;"")</f>
        <v/>
      </c>
      <c r="AA1129">
        <f>IF(Z1129="","",IF(MATCH(SUBSTITUTE(SUBSTITUTE(SUBSTITUTE(Z1129,"~","~~"),"*","~*"),"?","~?"),$Z$5:$Z$5004,0)=1125,MAX($AA$4:AA1128)+1,""))</f>
        <v/>
      </c>
    </row>
    <row r="1130" spans="1:27">
      <c r="A1130" s="9"/>
      <c r="Z1130">
        <f>TRIM(A1130&amp;"")</f>
        <v/>
      </c>
      <c r="AA1130">
        <f>IF(Z1130="","",IF(MATCH(SUBSTITUTE(SUBSTITUTE(SUBSTITUTE(Z1130,"~","~~"),"*","~*"),"?","~?"),$Z$5:$Z$5004,0)=1126,MAX($AA$4:AA1129)+1,""))</f>
        <v/>
      </c>
    </row>
    <row r="1131" spans="1:27">
      <c r="A1131" s="9"/>
      <c r="Z1131">
        <f>TRIM(A1131&amp;"")</f>
        <v/>
      </c>
      <c r="AA1131">
        <f>IF(Z1131="","",IF(MATCH(SUBSTITUTE(SUBSTITUTE(SUBSTITUTE(Z1131,"~","~~"),"*","~*"),"?","~?"),$Z$5:$Z$5004,0)=1127,MAX($AA$4:AA1130)+1,""))</f>
        <v/>
      </c>
    </row>
    <row r="1132" spans="1:27">
      <c r="A1132" s="9"/>
      <c r="Z1132">
        <f>TRIM(A1132&amp;"")</f>
        <v/>
      </c>
      <c r="AA1132">
        <f>IF(Z1132="","",IF(MATCH(SUBSTITUTE(SUBSTITUTE(SUBSTITUTE(Z1132,"~","~~"),"*","~*"),"?","~?"),$Z$5:$Z$5004,0)=1128,MAX($AA$4:AA1131)+1,""))</f>
        <v/>
      </c>
    </row>
    <row r="1133" spans="1:27">
      <c r="A1133" s="9"/>
      <c r="Z1133">
        <f>TRIM(A1133&amp;"")</f>
        <v/>
      </c>
      <c r="AA1133">
        <f>IF(Z1133="","",IF(MATCH(SUBSTITUTE(SUBSTITUTE(SUBSTITUTE(Z1133,"~","~~"),"*","~*"),"?","~?"),$Z$5:$Z$5004,0)=1129,MAX($AA$4:AA1132)+1,""))</f>
        <v/>
      </c>
    </row>
    <row r="1134" spans="1:27">
      <c r="A1134" s="9"/>
      <c r="Z1134">
        <f>TRIM(A1134&amp;"")</f>
        <v/>
      </c>
      <c r="AA1134">
        <f>IF(Z1134="","",IF(MATCH(SUBSTITUTE(SUBSTITUTE(SUBSTITUTE(Z1134,"~","~~"),"*","~*"),"?","~?"),$Z$5:$Z$5004,0)=1130,MAX($AA$4:AA1133)+1,""))</f>
        <v/>
      </c>
    </row>
    <row r="1135" spans="1:27">
      <c r="A1135" s="9"/>
      <c r="Z1135">
        <f>TRIM(A1135&amp;"")</f>
        <v/>
      </c>
      <c r="AA1135">
        <f>IF(Z1135="","",IF(MATCH(SUBSTITUTE(SUBSTITUTE(SUBSTITUTE(Z1135,"~","~~"),"*","~*"),"?","~?"),$Z$5:$Z$5004,0)=1131,MAX($AA$4:AA1134)+1,""))</f>
        <v/>
      </c>
    </row>
    <row r="1136" spans="1:27">
      <c r="A1136" s="9"/>
      <c r="Z1136">
        <f>TRIM(A1136&amp;"")</f>
        <v/>
      </c>
      <c r="AA1136">
        <f>IF(Z1136="","",IF(MATCH(SUBSTITUTE(SUBSTITUTE(SUBSTITUTE(Z1136,"~","~~"),"*","~*"),"?","~?"),$Z$5:$Z$5004,0)=1132,MAX($AA$4:AA1135)+1,""))</f>
        <v/>
      </c>
    </row>
    <row r="1137" spans="1:27">
      <c r="A1137" s="9"/>
      <c r="Z1137">
        <f>TRIM(A1137&amp;"")</f>
        <v/>
      </c>
      <c r="AA1137">
        <f>IF(Z1137="","",IF(MATCH(SUBSTITUTE(SUBSTITUTE(SUBSTITUTE(Z1137,"~","~~"),"*","~*"),"?","~?"),$Z$5:$Z$5004,0)=1133,MAX($AA$4:AA1136)+1,""))</f>
        <v/>
      </c>
    </row>
    <row r="1138" spans="1:27">
      <c r="A1138" s="9"/>
      <c r="Z1138">
        <f>TRIM(A1138&amp;"")</f>
        <v/>
      </c>
      <c r="AA1138">
        <f>IF(Z1138="","",IF(MATCH(SUBSTITUTE(SUBSTITUTE(SUBSTITUTE(Z1138,"~","~~"),"*","~*"),"?","~?"),$Z$5:$Z$5004,0)=1134,MAX($AA$4:AA1137)+1,""))</f>
        <v/>
      </c>
    </row>
    <row r="1139" spans="1:27">
      <c r="A1139" s="9"/>
      <c r="Z1139">
        <f>TRIM(A1139&amp;"")</f>
        <v/>
      </c>
      <c r="AA1139">
        <f>IF(Z1139="","",IF(MATCH(SUBSTITUTE(SUBSTITUTE(SUBSTITUTE(Z1139,"~","~~"),"*","~*"),"?","~?"),$Z$5:$Z$5004,0)=1135,MAX($AA$4:AA1138)+1,""))</f>
        <v/>
      </c>
    </row>
    <row r="1140" spans="1:27">
      <c r="A1140" s="9"/>
      <c r="Z1140">
        <f>TRIM(A1140&amp;"")</f>
        <v/>
      </c>
      <c r="AA1140">
        <f>IF(Z1140="","",IF(MATCH(SUBSTITUTE(SUBSTITUTE(SUBSTITUTE(Z1140,"~","~~"),"*","~*"),"?","~?"),$Z$5:$Z$5004,0)=1136,MAX($AA$4:AA1139)+1,""))</f>
        <v/>
      </c>
    </row>
    <row r="1141" spans="1:27">
      <c r="A1141" s="9"/>
      <c r="Z1141">
        <f>TRIM(A1141&amp;"")</f>
        <v/>
      </c>
      <c r="AA1141">
        <f>IF(Z1141="","",IF(MATCH(SUBSTITUTE(SUBSTITUTE(SUBSTITUTE(Z1141,"~","~~"),"*","~*"),"?","~?"),$Z$5:$Z$5004,0)=1137,MAX($AA$4:AA1140)+1,""))</f>
        <v/>
      </c>
    </row>
    <row r="1142" spans="1:27">
      <c r="A1142" s="9"/>
      <c r="Z1142">
        <f>TRIM(A1142&amp;"")</f>
        <v/>
      </c>
      <c r="AA1142">
        <f>IF(Z1142="","",IF(MATCH(SUBSTITUTE(SUBSTITUTE(SUBSTITUTE(Z1142,"~","~~"),"*","~*"),"?","~?"),$Z$5:$Z$5004,0)=1138,MAX($AA$4:AA1141)+1,""))</f>
        <v/>
      </c>
    </row>
    <row r="1143" spans="1:27">
      <c r="A1143" s="9"/>
      <c r="Z1143">
        <f>TRIM(A1143&amp;"")</f>
        <v/>
      </c>
      <c r="AA1143">
        <f>IF(Z1143="","",IF(MATCH(SUBSTITUTE(SUBSTITUTE(SUBSTITUTE(Z1143,"~","~~"),"*","~*"),"?","~?"),$Z$5:$Z$5004,0)=1139,MAX($AA$4:AA1142)+1,""))</f>
        <v/>
      </c>
    </row>
    <row r="1144" spans="1:27">
      <c r="A1144" s="9"/>
      <c r="Z1144">
        <f>TRIM(A1144&amp;"")</f>
        <v/>
      </c>
      <c r="AA1144">
        <f>IF(Z1144="","",IF(MATCH(SUBSTITUTE(SUBSTITUTE(SUBSTITUTE(Z1144,"~","~~"),"*","~*"),"?","~?"),$Z$5:$Z$5004,0)=1140,MAX($AA$4:AA1143)+1,""))</f>
        <v/>
      </c>
    </row>
    <row r="1145" spans="1:27">
      <c r="A1145" s="9"/>
      <c r="Z1145">
        <f>TRIM(A1145&amp;"")</f>
        <v/>
      </c>
      <c r="AA1145">
        <f>IF(Z1145="","",IF(MATCH(SUBSTITUTE(SUBSTITUTE(SUBSTITUTE(Z1145,"~","~~"),"*","~*"),"?","~?"),$Z$5:$Z$5004,0)=1141,MAX($AA$4:AA1144)+1,""))</f>
        <v/>
      </c>
    </row>
    <row r="1146" spans="1:27">
      <c r="A1146" s="9"/>
      <c r="Z1146">
        <f>TRIM(A1146&amp;"")</f>
        <v/>
      </c>
      <c r="AA1146">
        <f>IF(Z1146="","",IF(MATCH(SUBSTITUTE(SUBSTITUTE(SUBSTITUTE(Z1146,"~","~~"),"*","~*"),"?","~?"),$Z$5:$Z$5004,0)=1142,MAX($AA$4:AA1145)+1,""))</f>
        <v/>
      </c>
    </row>
    <row r="1147" spans="1:27">
      <c r="A1147" s="9"/>
      <c r="Z1147">
        <f>TRIM(A1147&amp;"")</f>
        <v/>
      </c>
      <c r="AA1147">
        <f>IF(Z1147="","",IF(MATCH(SUBSTITUTE(SUBSTITUTE(SUBSTITUTE(Z1147,"~","~~"),"*","~*"),"?","~?"),$Z$5:$Z$5004,0)=1143,MAX($AA$4:AA1146)+1,""))</f>
        <v/>
      </c>
    </row>
    <row r="1148" spans="1:27">
      <c r="A1148" s="9"/>
      <c r="Z1148">
        <f>TRIM(A1148&amp;"")</f>
        <v/>
      </c>
      <c r="AA1148">
        <f>IF(Z1148="","",IF(MATCH(SUBSTITUTE(SUBSTITUTE(SUBSTITUTE(Z1148,"~","~~"),"*","~*"),"?","~?"),$Z$5:$Z$5004,0)=1144,MAX($AA$4:AA1147)+1,""))</f>
        <v/>
      </c>
    </row>
    <row r="1149" spans="1:27">
      <c r="A1149" s="9"/>
      <c r="Z1149">
        <f>TRIM(A1149&amp;"")</f>
        <v/>
      </c>
      <c r="AA1149">
        <f>IF(Z1149="","",IF(MATCH(SUBSTITUTE(SUBSTITUTE(SUBSTITUTE(Z1149,"~","~~"),"*","~*"),"?","~?"),$Z$5:$Z$5004,0)=1145,MAX($AA$4:AA1148)+1,""))</f>
        <v/>
      </c>
    </row>
    <row r="1150" spans="1:27">
      <c r="A1150" s="9"/>
      <c r="Z1150">
        <f>TRIM(A1150&amp;"")</f>
        <v/>
      </c>
      <c r="AA1150">
        <f>IF(Z1150="","",IF(MATCH(SUBSTITUTE(SUBSTITUTE(SUBSTITUTE(Z1150,"~","~~"),"*","~*"),"?","~?"),$Z$5:$Z$5004,0)=1146,MAX($AA$4:AA1149)+1,""))</f>
        <v/>
      </c>
    </row>
    <row r="1151" spans="1:27">
      <c r="A1151" s="9"/>
      <c r="Z1151">
        <f>TRIM(A1151&amp;"")</f>
        <v/>
      </c>
      <c r="AA1151">
        <f>IF(Z1151="","",IF(MATCH(SUBSTITUTE(SUBSTITUTE(SUBSTITUTE(Z1151,"~","~~"),"*","~*"),"?","~?"),$Z$5:$Z$5004,0)=1147,MAX($AA$4:AA1150)+1,""))</f>
        <v/>
      </c>
    </row>
    <row r="1152" spans="1:27">
      <c r="A1152" s="9"/>
      <c r="Z1152">
        <f>TRIM(A1152&amp;"")</f>
        <v/>
      </c>
      <c r="AA1152">
        <f>IF(Z1152="","",IF(MATCH(SUBSTITUTE(SUBSTITUTE(SUBSTITUTE(Z1152,"~","~~"),"*","~*"),"?","~?"),$Z$5:$Z$5004,0)=1148,MAX($AA$4:AA1151)+1,""))</f>
        <v/>
      </c>
    </row>
    <row r="1153" spans="1:27">
      <c r="A1153" s="9"/>
      <c r="Z1153">
        <f>TRIM(A1153&amp;"")</f>
        <v/>
      </c>
      <c r="AA1153">
        <f>IF(Z1153="","",IF(MATCH(SUBSTITUTE(SUBSTITUTE(SUBSTITUTE(Z1153,"~","~~"),"*","~*"),"?","~?"),$Z$5:$Z$5004,0)=1149,MAX($AA$4:AA1152)+1,""))</f>
        <v/>
      </c>
    </row>
    <row r="1154" spans="1:27">
      <c r="A1154" s="9"/>
      <c r="Z1154">
        <f>TRIM(A1154&amp;"")</f>
        <v/>
      </c>
      <c r="AA1154">
        <f>IF(Z1154="","",IF(MATCH(SUBSTITUTE(SUBSTITUTE(SUBSTITUTE(Z1154,"~","~~"),"*","~*"),"?","~?"),$Z$5:$Z$5004,0)=1150,MAX($AA$4:AA1153)+1,""))</f>
        <v/>
      </c>
    </row>
    <row r="1155" spans="1:27">
      <c r="A1155" s="9"/>
      <c r="Z1155">
        <f>TRIM(A1155&amp;"")</f>
        <v/>
      </c>
      <c r="AA1155">
        <f>IF(Z1155="","",IF(MATCH(SUBSTITUTE(SUBSTITUTE(SUBSTITUTE(Z1155,"~","~~"),"*","~*"),"?","~?"),$Z$5:$Z$5004,0)=1151,MAX($AA$4:AA1154)+1,""))</f>
        <v/>
      </c>
    </row>
    <row r="1156" spans="1:27">
      <c r="A1156" s="9"/>
      <c r="Z1156">
        <f>TRIM(A1156&amp;"")</f>
        <v/>
      </c>
      <c r="AA1156">
        <f>IF(Z1156="","",IF(MATCH(SUBSTITUTE(SUBSTITUTE(SUBSTITUTE(Z1156,"~","~~"),"*","~*"),"?","~?"),$Z$5:$Z$5004,0)=1152,MAX($AA$4:AA1155)+1,""))</f>
        <v/>
      </c>
    </row>
    <row r="1157" spans="1:27">
      <c r="A1157" s="9"/>
      <c r="Z1157">
        <f>TRIM(A1157&amp;"")</f>
        <v/>
      </c>
      <c r="AA1157">
        <f>IF(Z1157="","",IF(MATCH(SUBSTITUTE(SUBSTITUTE(SUBSTITUTE(Z1157,"~","~~"),"*","~*"),"?","~?"),$Z$5:$Z$5004,0)=1153,MAX($AA$4:AA1156)+1,""))</f>
        <v/>
      </c>
    </row>
    <row r="1158" spans="1:27">
      <c r="A1158" s="9"/>
      <c r="Z1158">
        <f>TRIM(A1158&amp;"")</f>
        <v/>
      </c>
      <c r="AA1158">
        <f>IF(Z1158="","",IF(MATCH(SUBSTITUTE(SUBSTITUTE(SUBSTITUTE(Z1158,"~","~~"),"*","~*"),"?","~?"),$Z$5:$Z$5004,0)=1154,MAX($AA$4:AA1157)+1,""))</f>
        <v/>
      </c>
    </row>
    <row r="1159" spans="1:27">
      <c r="A1159" s="9"/>
      <c r="Z1159">
        <f>TRIM(A1159&amp;"")</f>
        <v/>
      </c>
      <c r="AA1159">
        <f>IF(Z1159="","",IF(MATCH(SUBSTITUTE(SUBSTITUTE(SUBSTITUTE(Z1159,"~","~~"),"*","~*"),"?","~?"),$Z$5:$Z$5004,0)=1155,MAX($AA$4:AA1158)+1,""))</f>
        <v/>
      </c>
    </row>
    <row r="1160" spans="1:27">
      <c r="A1160" s="9"/>
      <c r="Z1160">
        <f>TRIM(A1160&amp;"")</f>
        <v/>
      </c>
      <c r="AA1160">
        <f>IF(Z1160="","",IF(MATCH(SUBSTITUTE(SUBSTITUTE(SUBSTITUTE(Z1160,"~","~~"),"*","~*"),"?","~?"),$Z$5:$Z$5004,0)=1156,MAX($AA$4:AA1159)+1,""))</f>
        <v/>
      </c>
    </row>
    <row r="1161" spans="1:27">
      <c r="A1161" s="9"/>
      <c r="Z1161">
        <f>TRIM(A1161&amp;"")</f>
        <v/>
      </c>
      <c r="AA1161">
        <f>IF(Z1161="","",IF(MATCH(SUBSTITUTE(SUBSTITUTE(SUBSTITUTE(Z1161,"~","~~"),"*","~*"),"?","~?"),$Z$5:$Z$5004,0)=1157,MAX($AA$4:AA1160)+1,""))</f>
        <v/>
      </c>
    </row>
    <row r="1162" spans="1:27">
      <c r="A1162" s="9"/>
      <c r="Z1162">
        <f>TRIM(A1162&amp;"")</f>
        <v/>
      </c>
      <c r="AA1162">
        <f>IF(Z1162="","",IF(MATCH(SUBSTITUTE(SUBSTITUTE(SUBSTITUTE(Z1162,"~","~~"),"*","~*"),"?","~?"),$Z$5:$Z$5004,0)=1158,MAX($AA$4:AA1161)+1,""))</f>
        <v/>
      </c>
    </row>
    <row r="1163" spans="1:27">
      <c r="A1163" s="9"/>
      <c r="Z1163">
        <f>TRIM(A1163&amp;"")</f>
        <v/>
      </c>
      <c r="AA1163">
        <f>IF(Z1163="","",IF(MATCH(SUBSTITUTE(SUBSTITUTE(SUBSTITUTE(Z1163,"~","~~"),"*","~*"),"?","~?"),$Z$5:$Z$5004,0)=1159,MAX($AA$4:AA1162)+1,""))</f>
        <v/>
      </c>
    </row>
    <row r="1164" spans="1:27">
      <c r="A1164" s="9"/>
      <c r="Z1164">
        <f>TRIM(A1164&amp;"")</f>
        <v/>
      </c>
      <c r="AA1164">
        <f>IF(Z1164="","",IF(MATCH(SUBSTITUTE(SUBSTITUTE(SUBSTITUTE(Z1164,"~","~~"),"*","~*"),"?","~?"),$Z$5:$Z$5004,0)=1160,MAX($AA$4:AA1163)+1,""))</f>
        <v/>
      </c>
    </row>
    <row r="1165" spans="1:27">
      <c r="A1165" s="9"/>
      <c r="Z1165">
        <f>TRIM(A1165&amp;"")</f>
        <v/>
      </c>
      <c r="AA1165">
        <f>IF(Z1165="","",IF(MATCH(SUBSTITUTE(SUBSTITUTE(SUBSTITUTE(Z1165,"~","~~"),"*","~*"),"?","~?"),$Z$5:$Z$5004,0)=1161,MAX($AA$4:AA1164)+1,""))</f>
        <v/>
      </c>
    </row>
    <row r="1166" spans="1:27">
      <c r="A1166" s="9"/>
      <c r="Z1166">
        <f>TRIM(A1166&amp;"")</f>
        <v/>
      </c>
      <c r="AA1166">
        <f>IF(Z1166="","",IF(MATCH(SUBSTITUTE(SUBSTITUTE(SUBSTITUTE(Z1166,"~","~~"),"*","~*"),"?","~?"),$Z$5:$Z$5004,0)=1162,MAX($AA$4:AA1165)+1,""))</f>
        <v/>
      </c>
    </row>
    <row r="1167" spans="1:27">
      <c r="A1167" s="9"/>
      <c r="Z1167">
        <f>TRIM(A1167&amp;"")</f>
        <v/>
      </c>
      <c r="AA1167">
        <f>IF(Z1167="","",IF(MATCH(SUBSTITUTE(SUBSTITUTE(SUBSTITUTE(Z1167,"~","~~"),"*","~*"),"?","~?"),$Z$5:$Z$5004,0)=1163,MAX($AA$4:AA1166)+1,""))</f>
        <v/>
      </c>
    </row>
    <row r="1168" spans="1:27">
      <c r="A1168" s="9"/>
      <c r="Z1168">
        <f>TRIM(A1168&amp;"")</f>
        <v/>
      </c>
      <c r="AA1168">
        <f>IF(Z1168="","",IF(MATCH(SUBSTITUTE(SUBSTITUTE(SUBSTITUTE(Z1168,"~","~~"),"*","~*"),"?","~?"),$Z$5:$Z$5004,0)=1164,MAX($AA$4:AA1167)+1,""))</f>
        <v/>
      </c>
    </row>
    <row r="1169" spans="1:27">
      <c r="A1169" s="9"/>
      <c r="Z1169">
        <f>TRIM(A1169&amp;"")</f>
        <v/>
      </c>
      <c r="AA1169">
        <f>IF(Z1169="","",IF(MATCH(SUBSTITUTE(SUBSTITUTE(SUBSTITUTE(Z1169,"~","~~"),"*","~*"),"?","~?"),$Z$5:$Z$5004,0)=1165,MAX($AA$4:AA1168)+1,""))</f>
        <v/>
      </c>
    </row>
    <row r="1170" spans="1:27">
      <c r="A1170" s="9"/>
      <c r="Z1170">
        <f>TRIM(A1170&amp;"")</f>
        <v/>
      </c>
      <c r="AA1170">
        <f>IF(Z1170="","",IF(MATCH(SUBSTITUTE(SUBSTITUTE(SUBSTITUTE(Z1170,"~","~~"),"*","~*"),"?","~?"),$Z$5:$Z$5004,0)=1166,MAX($AA$4:AA1169)+1,""))</f>
        <v/>
      </c>
    </row>
    <row r="1171" spans="1:27">
      <c r="A1171" s="9"/>
      <c r="Z1171">
        <f>TRIM(A1171&amp;"")</f>
        <v/>
      </c>
      <c r="AA1171">
        <f>IF(Z1171="","",IF(MATCH(SUBSTITUTE(SUBSTITUTE(SUBSTITUTE(Z1171,"~","~~"),"*","~*"),"?","~?"),$Z$5:$Z$5004,0)=1167,MAX($AA$4:AA1170)+1,""))</f>
        <v/>
      </c>
    </row>
    <row r="1172" spans="1:27">
      <c r="A1172" s="9"/>
      <c r="Z1172">
        <f>TRIM(A1172&amp;"")</f>
        <v/>
      </c>
      <c r="AA1172">
        <f>IF(Z1172="","",IF(MATCH(SUBSTITUTE(SUBSTITUTE(SUBSTITUTE(Z1172,"~","~~"),"*","~*"),"?","~?"),$Z$5:$Z$5004,0)=1168,MAX($AA$4:AA1171)+1,""))</f>
        <v/>
      </c>
    </row>
    <row r="1173" spans="1:27">
      <c r="A1173" s="9"/>
      <c r="Z1173">
        <f>TRIM(A1173&amp;"")</f>
        <v/>
      </c>
      <c r="AA1173">
        <f>IF(Z1173="","",IF(MATCH(SUBSTITUTE(SUBSTITUTE(SUBSTITUTE(Z1173,"~","~~"),"*","~*"),"?","~?"),$Z$5:$Z$5004,0)=1169,MAX($AA$4:AA1172)+1,""))</f>
        <v/>
      </c>
    </row>
    <row r="1174" spans="1:27">
      <c r="A1174" s="9"/>
      <c r="Z1174">
        <f>TRIM(A1174&amp;"")</f>
        <v/>
      </c>
      <c r="AA1174">
        <f>IF(Z1174="","",IF(MATCH(SUBSTITUTE(SUBSTITUTE(SUBSTITUTE(Z1174,"~","~~"),"*","~*"),"?","~?"),$Z$5:$Z$5004,0)=1170,MAX($AA$4:AA1173)+1,""))</f>
        <v/>
      </c>
    </row>
    <row r="1175" spans="1:27">
      <c r="A1175" s="9"/>
      <c r="Z1175">
        <f>TRIM(A1175&amp;"")</f>
        <v/>
      </c>
      <c r="AA1175">
        <f>IF(Z1175="","",IF(MATCH(SUBSTITUTE(SUBSTITUTE(SUBSTITUTE(Z1175,"~","~~"),"*","~*"),"?","~?"),$Z$5:$Z$5004,0)=1171,MAX($AA$4:AA1174)+1,""))</f>
        <v/>
      </c>
    </row>
    <row r="1176" spans="1:27">
      <c r="A1176" s="9"/>
      <c r="Z1176">
        <f>TRIM(A1176&amp;"")</f>
        <v/>
      </c>
      <c r="AA1176">
        <f>IF(Z1176="","",IF(MATCH(SUBSTITUTE(SUBSTITUTE(SUBSTITUTE(Z1176,"~","~~"),"*","~*"),"?","~?"),$Z$5:$Z$5004,0)=1172,MAX($AA$4:AA1175)+1,""))</f>
        <v/>
      </c>
    </row>
    <row r="1177" spans="1:27">
      <c r="A1177" s="9"/>
      <c r="Z1177">
        <f>TRIM(A1177&amp;"")</f>
        <v/>
      </c>
      <c r="AA1177">
        <f>IF(Z1177="","",IF(MATCH(SUBSTITUTE(SUBSTITUTE(SUBSTITUTE(Z1177,"~","~~"),"*","~*"),"?","~?"),$Z$5:$Z$5004,0)=1173,MAX($AA$4:AA1176)+1,""))</f>
        <v/>
      </c>
    </row>
    <row r="1178" spans="1:27">
      <c r="A1178" s="9"/>
      <c r="Z1178">
        <f>TRIM(A1178&amp;"")</f>
        <v/>
      </c>
      <c r="AA1178">
        <f>IF(Z1178="","",IF(MATCH(SUBSTITUTE(SUBSTITUTE(SUBSTITUTE(Z1178,"~","~~"),"*","~*"),"?","~?"),$Z$5:$Z$5004,0)=1174,MAX($AA$4:AA1177)+1,""))</f>
        <v/>
      </c>
    </row>
    <row r="1179" spans="1:27">
      <c r="A1179" s="9"/>
      <c r="Z1179">
        <f>TRIM(A1179&amp;"")</f>
        <v/>
      </c>
      <c r="AA1179">
        <f>IF(Z1179="","",IF(MATCH(SUBSTITUTE(SUBSTITUTE(SUBSTITUTE(Z1179,"~","~~"),"*","~*"),"?","~?"),$Z$5:$Z$5004,0)=1175,MAX($AA$4:AA1178)+1,""))</f>
        <v/>
      </c>
    </row>
    <row r="1180" spans="1:27">
      <c r="A1180" s="9"/>
      <c r="Z1180">
        <f>TRIM(A1180&amp;"")</f>
        <v/>
      </c>
      <c r="AA1180">
        <f>IF(Z1180="","",IF(MATCH(SUBSTITUTE(SUBSTITUTE(SUBSTITUTE(Z1180,"~","~~"),"*","~*"),"?","~?"),$Z$5:$Z$5004,0)=1176,MAX($AA$4:AA1179)+1,""))</f>
        <v/>
      </c>
    </row>
    <row r="1181" spans="1:27">
      <c r="A1181" s="9"/>
      <c r="Z1181">
        <f>TRIM(A1181&amp;"")</f>
        <v/>
      </c>
      <c r="AA1181">
        <f>IF(Z1181="","",IF(MATCH(SUBSTITUTE(SUBSTITUTE(SUBSTITUTE(Z1181,"~","~~"),"*","~*"),"?","~?"),$Z$5:$Z$5004,0)=1177,MAX($AA$4:AA1180)+1,""))</f>
        <v/>
      </c>
    </row>
    <row r="1182" spans="1:27">
      <c r="A1182" s="9"/>
      <c r="Z1182">
        <f>TRIM(A1182&amp;"")</f>
        <v/>
      </c>
      <c r="AA1182">
        <f>IF(Z1182="","",IF(MATCH(SUBSTITUTE(SUBSTITUTE(SUBSTITUTE(Z1182,"~","~~"),"*","~*"),"?","~?"),$Z$5:$Z$5004,0)=1178,MAX($AA$4:AA1181)+1,""))</f>
        <v/>
      </c>
    </row>
    <row r="1183" spans="1:27">
      <c r="A1183" s="9"/>
      <c r="Z1183">
        <f>TRIM(A1183&amp;"")</f>
        <v/>
      </c>
      <c r="AA1183">
        <f>IF(Z1183="","",IF(MATCH(SUBSTITUTE(SUBSTITUTE(SUBSTITUTE(Z1183,"~","~~"),"*","~*"),"?","~?"),$Z$5:$Z$5004,0)=1179,MAX($AA$4:AA1182)+1,""))</f>
        <v/>
      </c>
    </row>
    <row r="1184" spans="1:27">
      <c r="A1184" s="9"/>
      <c r="Z1184">
        <f>TRIM(A1184&amp;"")</f>
        <v/>
      </c>
      <c r="AA1184">
        <f>IF(Z1184="","",IF(MATCH(SUBSTITUTE(SUBSTITUTE(SUBSTITUTE(Z1184,"~","~~"),"*","~*"),"?","~?"),$Z$5:$Z$5004,0)=1180,MAX($AA$4:AA1183)+1,""))</f>
        <v/>
      </c>
    </row>
    <row r="1185" spans="1:27">
      <c r="A1185" s="9"/>
      <c r="Z1185">
        <f>TRIM(A1185&amp;"")</f>
        <v/>
      </c>
      <c r="AA1185">
        <f>IF(Z1185="","",IF(MATCH(SUBSTITUTE(SUBSTITUTE(SUBSTITUTE(Z1185,"~","~~"),"*","~*"),"?","~?"),$Z$5:$Z$5004,0)=1181,MAX($AA$4:AA1184)+1,""))</f>
        <v/>
      </c>
    </row>
    <row r="1186" spans="1:27">
      <c r="A1186" s="9"/>
      <c r="Z1186">
        <f>TRIM(A1186&amp;"")</f>
        <v/>
      </c>
      <c r="AA1186">
        <f>IF(Z1186="","",IF(MATCH(SUBSTITUTE(SUBSTITUTE(SUBSTITUTE(Z1186,"~","~~"),"*","~*"),"?","~?"),$Z$5:$Z$5004,0)=1182,MAX($AA$4:AA1185)+1,""))</f>
        <v/>
      </c>
    </row>
    <row r="1187" spans="1:27">
      <c r="A1187" s="9"/>
      <c r="Z1187">
        <f>TRIM(A1187&amp;"")</f>
        <v/>
      </c>
      <c r="AA1187">
        <f>IF(Z1187="","",IF(MATCH(SUBSTITUTE(SUBSTITUTE(SUBSTITUTE(Z1187,"~","~~"),"*","~*"),"?","~?"),$Z$5:$Z$5004,0)=1183,MAX($AA$4:AA1186)+1,""))</f>
        <v/>
      </c>
    </row>
    <row r="1188" spans="1:27">
      <c r="A1188" s="9"/>
      <c r="Z1188">
        <f>TRIM(A1188&amp;"")</f>
        <v/>
      </c>
      <c r="AA1188">
        <f>IF(Z1188="","",IF(MATCH(SUBSTITUTE(SUBSTITUTE(SUBSTITUTE(Z1188,"~","~~"),"*","~*"),"?","~?"),$Z$5:$Z$5004,0)=1184,MAX($AA$4:AA1187)+1,""))</f>
        <v/>
      </c>
    </row>
    <row r="1189" spans="1:27">
      <c r="A1189" s="9"/>
      <c r="Z1189">
        <f>TRIM(A1189&amp;"")</f>
        <v/>
      </c>
      <c r="AA1189">
        <f>IF(Z1189="","",IF(MATCH(SUBSTITUTE(SUBSTITUTE(SUBSTITUTE(Z1189,"~","~~"),"*","~*"),"?","~?"),$Z$5:$Z$5004,0)=1185,MAX($AA$4:AA1188)+1,""))</f>
        <v/>
      </c>
    </row>
    <row r="1190" spans="1:27">
      <c r="A1190" s="9"/>
      <c r="Z1190">
        <f>TRIM(A1190&amp;"")</f>
        <v/>
      </c>
      <c r="AA1190">
        <f>IF(Z1190="","",IF(MATCH(SUBSTITUTE(SUBSTITUTE(SUBSTITUTE(Z1190,"~","~~"),"*","~*"),"?","~?"),$Z$5:$Z$5004,0)=1186,MAX($AA$4:AA1189)+1,""))</f>
        <v/>
      </c>
    </row>
    <row r="1191" spans="1:27">
      <c r="A1191" s="9"/>
      <c r="Z1191">
        <f>TRIM(A1191&amp;"")</f>
        <v/>
      </c>
      <c r="AA1191">
        <f>IF(Z1191="","",IF(MATCH(SUBSTITUTE(SUBSTITUTE(SUBSTITUTE(Z1191,"~","~~"),"*","~*"),"?","~?"),$Z$5:$Z$5004,0)=1187,MAX($AA$4:AA1190)+1,""))</f>
        <v/>
      </c>
    </row>
    <row r="1192" spans="1:27">
      <c r="A1192" s="9"/>
      <c r="Z1192">
        <f>TRIM(A1192&amp;"")</f>
        <v/>
      </c>
      <c r="AA1192">
        <f>IF(Z1192="","",IF(MATCH(SUBSTITUTE(SUBSTITUTE(SUBSTITUTE(Z1192,"~","~~"),"*","~*"),"?","~?"),$Z$5:$Z$5004,0)=1188,MAX($AA$4:AA1191)+1,""))</f>
        <v/>
      </c>
    </row>
    <row r="1193" spans="1:27">
      <c r="A1193" s="9"/>
      <c r="Z1193">
        <f>TRIM(A1193&amp;"")</f>
        <v/>
      </c>
      <c r="AA1193">
        <f>IF(Z1193="","",IF(MATCH(SUBSTITUTE(SUBSTITUTE(SUBSTITUTE(Z1193,"~","~~"),"*","~*"),"?","~?"),$Z$5:$Z$5004,0)=1189,MAX($AA$4:AA1192)+1,""))</f>
        <v/>
      </c>
    </row>
    <row r="1194" spans="1:27">
      <c r="A1194" s="9"/>
      <c r="Z1194">
        <f>TRIM(A1194&amp;"")</f>
        <v/>
      </c>
      <c r="AA1194">
        <f>IF(Z1194="","",IF(MATCH(SUBSTITUTE(SUBSTITUTE(SUBSTITUTE(Z1194,"~","~~"),"*","~*"),"?","~?"),$Z$5:$Z$5004,0)=1190,MAX($AA$4:AA1193)+1,""))</f>
        <v/>
      </c>
    </row>
    <row r="1195" spans="1:27">
      <c r="A1195" s="9"/>
      <c r="Z1195">
        <f>TRIM(A1195&amp;"")</f>
        <v/>
      </c>
      <c r="AA1195">
        <f>IF(Z1195="","",IF(MATCH(SUBSTITUTE(SUBSTITUTE(SUBSTITUTE(Z1195,"~","~~"),"*","~*"),"?","~?"),$Z$5:$Z$5004,0)=1191,MAX($AA$4:AA1194)+1,""))</f>
        <v/>
      </c>
    </row>
    <row r="1196" spans="1:27">
      <c r="A1196" s="9"/>
      <c r="Z1196">
        <f>TRIM(A1196&amp;"")</f>
        <v/>
      </c>
      <c r="AA1196">
        <f>IF(Z1196="","",IF(MATCH(SUBSTITUTE(SUBSTITUTE(SUBSTITUTE(Z1196,"~","~~"),"*","~*"),"?","~?"),$Z$5:$Z$5004,0)=1192,MAX($AA$4:AA1195)+1,""))</f>
        <v/>
      </c>
    </row>
    <row r="1197" spans="1:27">
      <c r="A1197" s="9"/>
      <c r="Z1197">
        <f>TRIM(A1197&amp;"")</f>
        <v/>
      </c>
      <c r="AA1197">
        <f>IF(Z1197="","",IF(MATCH(SUBSTITUTE(SUBSTITUTE(SUBSTITUTE(Z1197,"~","~~"),"*","~*"),"?","~?"),$Z$5:$Z$5004,0)=1193,MAX($AA$4:AA1196)+1,""))</f>
        <v/>
      </c>
    </row>
    <row r="1198" spans="1:27">
      <c r="A1198" s="9"/>
      <c r="Z1198">
        <f>TRIM(A1198&amp;"")</f>
        <v/>
      </c>
      <c r="AA1198">
        <f>IF(Z1198="","",IF(MATCH(SUBSTITUTE(SUBSTITUTE(SUBSTITUTE(Z1198,"~","~~"),"*","~*"),"?","~?"),$Z$5:$Z$5004,0)=1194,MAX($AA$4:AA1197)+1,""))</f>
        <v/>
      </c>
    </row>
    <row r="1199" spans="1:27">
      <c r="A1199" s="9"/>
      <c r="Z1199">
        <f>TRIM(A1199&amp;"")</f>
        <v/>
      </c>
      <c r="AA1199">
        <f>IF(Z1199="","",IF(MATCH(SUBSTITUTE(SUBSTITUTE(SUBSTITUTE(Z1199,"~","~~"),"*","~*"),"?","~?"),$Z$5:$Z$5004,0)=1195,MAX($AA$4:AA1198)+1,""))</f>
        <v/>
      </c>
    </row>
    <row r="1200" spans="1:27">
      <c r="A1200" s="9"/>
      <c r="Z1200">
        <f>TRIM(A1200&amp;"")</f>
        <v/>
      </c>
      <c r="AA1200">
        <f>IF(Z1200="","",IF(MATCH(SUBSTITUTE(SUBSTITUTE(SUBSTITUTE(Z1200,"~","~~"),"*","~*"),"?","~?"),$Z$5:$Z$5004,0)=1196,MAX($AA$4:AA1199)+1,""))</f>
        <v/>
      </c>
    </row>
    <row r="1201" spans="1:27">
      <c r="A1201" s="9"/>
      <c r="Z1201">
        <f>TRIM(A1201&amp;"")</f>
        <v/>
      </c>
      <c r="AA1201">
        <f>IF(Z1201="","",IF(MATCH(SUBSTITUTE(SUBSTITUTE(SUBSTITUTE(Z1201,"~","~~"),"*","~*"),"?","~?"),$Z$5:$Z$5004,0)=1197,MAX($AA$4:AA1200)+1,""))</f>
        <v/>
      </c>
    </row>
    <row r="1202" spans="1:27">
      <c r="A1202" s="9"/>
      <c r="Z1202">
        <f>TRIM(A1202&amp;"")</f>
        <v/>
      </c>
      <c r="AA1202">
        <f>IF(Z1202="","",IF(MATCH(SUBSTITUTE(SUBSTITUTE(SUBSTITUTE(Z1202,"~","~~"),"*","~*"),"?","~?"),$Z$5:$Z$5004,0)=1198,MAX($AA$4:AA1201)+1,""))</f>
        <v/>
      </c>
    </row>
    <row r="1203" spans="1:27">
      <c r="A1203" s="9"/>
      <c r="Z1203">
        <f>TRIM(A1203&amp;"")</f>
        <v/>
      </c>
      <c r="AA1203">
        <f>IF(Z1203="","",IF(MATCH(SUBSTITUTE(SUBSTITUTE(SUBSTITUTE(Z1203,"~","~~"),"*","~*"),"?","~?"),$Z$5:$Z$5004,0)=1199,MAX($AA$4:AA1202)+1,""))</f>
        <v/>
      </c>
    </row>
    <row r="1204" spans="1:27">
      <c r="A1204" s="9"/>
      <c r="Z1204">
        <f>TRIM(A1204&amp;"")</f>
        <v/>
      </c>
      <c r="AA1204">
        <f>IF(Z1204="","",IF(MATCH(SUBSTITUTE(SUBSTITUTE(SUBSTITUTE(Z1204,"~","~~"),"*","~*"),"?","~?"),$Z$5:$Z$5004,0)=1200,MAX($AA$4:AA1203)+1,""))</f>
        <v/>
      </c>
    </row>
    <row r="1205" spans="1:27">
      <c r="A1205" s="9"/>
      <c r="Z1205">
        <f>TRIM(A1205&amp;"")</f>
        <v/>
      </c>
      <c r="AA1205">
        <f>IF(Z1205="","",IF(MATCH(SUBSTITUTE(SUBSTITUTE(SUBSTITUTE(Z1205,"~","~~"),"*","~*"),"?","~?"),$Z$5:$Z$5004,0)=1201,MAX($AA$4:AA1204)+1,""))</f>
        <v/>
      </c>
    </row>
    <row r="1206" spans="1:27">
      <c r="A1206" s="9"/>
      <c r="Z1206">
        <f>TRIM(A1206&amp;"")</f>
        <v/>
      </c>
      <c r="AA1206">
        <f>IF(Z1206="","",IF(MATCH(SUBSTITUTE(SUBSTITUTE(SUBSTITUTE(Z1206,"~","~~"),"*","~*"),"?","~?"),$Z$5:$Z$5004,0)=1202,MAX($AA$4:AA1205)+1,""))</f>
        <v/>
      </c>
    </row>
    <row r="1207" spans="1:27">
      <c r="A1207" s="9"/>
      <c r="Z1207">
        <f>TRIM(A1207&amp;"")</f>
        <v/>
      </c>
      <c r="AA1207">
        <f>IF(Z1207="","",IF(MATCH(SUBSTITUTE(SUBSTITUTE(SUBSTITUTE(Z1207,"~","~~"),"*","~*"),"?","~?"),$Z$5:$Z$5004,0)=1203,MAX($AA$4:AA1206)+1,""))</f>
        <v/>
      </c>
    </row>
    <row r="1208" spans="1:27">
      <c r="A1208" s="9"/>
      <c r="Z1208">
        <f>TRIM(A1208&amp;"")</f>
        <v/>
      </c>
      <c r="AA1208">
        <f>IF(Z1208="","",IF(MATCH(SUBSTITUTE(SUBSTITUTE(SUBSTITUTE(Z1208,"~","~~"),"*","~*"),"?","~?"),$Z$5:$Z$5004,0)=1204,MAX($AA$4:AA1207)+1,""))</f>
        <v/>
      </c>
    </row>
    <row r="1209" spans="1:27">
      <c r="A1209" s="9"/>
      <c r="Z1209">
        <f>TRIM(A1209&amp;"")</f>
        <v/>
      </c>
      <c r="AA1209">
        <f>IF(Z1209="","",IF(MATCH(SUBSTITUTE(SUBSTITUTE(SUBSTITUTE(Z1209,"~","~~"),"*","~*"),"?","~?"),$Z$5:$Z$5004,0)=1205,MAX($AA$4:AA1208)+1,""))</f>
        <v/>
      </c>
    </row>
    <row r="1210" spans="1:27">
      <c r="A1210" s="9"/>
      <c r="Z1210">
        <f>TRIM(A1210&amp;"")</f>
        <v/>
      </c>
      <c r="AA1210">
        <f>IF(Z1210="","",IF(MATCH(SUBSTITUTE(SUBSTITUTE(SUBSTITUTE(Z1210,"~","~~"),"*","~*"),"?","~?"),$Z$5:$Z$5004,0)=1206,MAX($AA$4:AA1209)+1,""))</f>
        <v/>
      </c>
    </row>
    <row r="1211" spans="1:27">
      <c r="A1211" s="9"/>
      <c r="Z1211">
        <f>TRIM(A1211&amp;"")</f>
        <v/>
      </c>
      <c r="AA1211">
        <f>IF(Z1211="","",IF(MATCH(SUBSTITUTE(SUBSTITUTE(SUBSTITUTE(Z1211,"~","~~"),"*","~*"),"?","~?"),$Z$5:$Z$5004,0)=1207,MAX($AA$4:AA1210)+1,""))</f>
        <v/>
      </c>
    </row>
    <row r="1212" spans="1:27">
      <c r="A1212" s="9"/>
      <c r="Z1212">
        <f>TRIM(A1212&amp;"")</f>
        <v/>
      </c>
      <c r="AA1212">
        <f>IF(Z1212="","",IF(MATCH(SUBSTITUTE(SUBSTITUTE(SUBSTITUTE(Z1212,"~","~~"),"*","~*"),"?","~?"),$Z$5:$Z$5004,0)=1208,MAX($AA$4:AA1211)+1,""))</f>
        <v/>
      </c>
    </row>
    <row r="1213" spans="1:27">
      <c r="A1213" s="9"/>
      <c r="Z1213">
        <f>TRIM(A1213&amp;"")</f>
        <v/>
      </c>
      <c r="AA1213">
        <f>IF(Z1213="","",IF(MATCH(SUBSTITUTE(SUBSTITUTE(SUBSTITUTE(Z1213,"~","~~"),"*","~*"),"?","~?"),$Z$5:$Z$5004,0)=1209,MAX($AA$4:AA1212)+1,""))</f>
        <v/>
      </c>
    </row>
    <row r="1214" spans="1:27">
      <c r="A1214" s="9"/>
      <c r="Z1214">
        <f>TRIM(A1214&amp;"")</f>
        <v/>
      </c>
      <c r="AA1214">
        <f>IF(Z1214="","",IF(MATCH(SUBSTITUTE(SUBSTITUTE(SUBSTITUTE(Z1214,"~","~~"),"*","~*"),"?","~?"),$Z$5:$Z$5004,0)=1210,MAX($AA$4:AA1213)+1,""))</f>
        <v/>
      </c>
    </row>
    <row r="1215" spans="1:27">
      <c r="A1215" s="9"/>
      <c r="Z1215">
        <f>TRIM(A1215&amp;"")</f>
        <v/>
      </c>
      <c r="AA1215">
        <f>IF(Z1215="","",IF(MATCH(SUBSTITUTE(SUBSTITUTE(SUBSTITUTE(Z1215,"~","~~"),"*","~*"),"?","~?"),$Z$5:$Z$5004,0)=1211,MAX($AA$4:AA1214)+1,""))</f>
        <v/>
      </c>
    </row>
    <row r="1216" spans="1:27">
      <c r="A1216" s="9"/>
      <c r="Z1216">
        <f>TRIM(A1216&amp;"")</f>
        <v/>
      </c>
      <c r="AA1216">
        <f>IF(Z1216="","",IF(MATCH(SUBSTITUTE(SUBSTITUTE(SUBSTITUTE(Z1216,"~","~~"),"*","~*"),"?","~?"),$Z$5:$Z$5004,0)=1212,MAX($AA$4:AA1215)+1,""))</f>
        <v/>
      </c>
    </row>
    <row r="1217" spans="1:27">
      <c r="A1217" s="9"/>
      <c r="Z1217">
        <f>TRIM(A1217&amp;"")</f>
        <v/>
      </c>
      <c r="AA1217">
        <f>IF(Z1217="","",IF(MATCH(SUBSTITUTE(SUBSTITUTE(SUBSTITUTE(Z1217,"~","~~"),"*","~*"),"?","~?"),$Z$5:$Z$5004,0)=1213,MAX($AA$4:AA1216)+1,""))</f>
        <v/>
      </c>
    </row>
    <row r="1218" spans="1:27">
      <c r="A1218" s="9"/>
      <c r="Z1218">
        <f>TRIM(A1218&amp;"")</f>
        <v/>
      </c>
      <c r="AA1218">
        <f>IF(Z1218="","",IF(MATCH(SUBSTITUTE(SUBSTITUTE(SUBSTITUTE(Z1218,"~","~~"),"*","~*"),"?","~?"),$Z$5:$Z$5004,0)=1214,MAX($AA$4:AA1217)+1,""))</f>
        <v/>
      </c>
    </row>
    <row r="1219" spans="1:27">
      <c r="A1219" s="9"/>
      <c r="Z1219">
        <f>TRIM(A1219&amp;"")</f>
        <v/>
      </c>
      <c r="AA1219">
        <f>IF(Z1219="","",IF(MATCH(SUBSTITUTE(SUBSTITUTE(SUBSTITUTE(Z1219,"~","~~"),"*","~*"),"?","~?"),$Z$5:$Z$5004,0)=1215,MAX($AA$4:AA1218)+1,""))</f>
        <v/>
      </c>
    </row>
    <row r="1220" spans="1:27">
      <c r="A1220" s="9"/>
      <c r="Z1220">
        <f>TRIM(A1220&amp;"")</f>
        <v/>
      </c>
      <c r="AA1220">
        <f>IF(Z1220="","",IF(MATCH(SUBSTITUTE(SUBSTITUTE(SUBSTITUTE(Z1220,"~","~~"),"*","~*"),"?","~?"),$Z$5:$Z$5004,0)=1216,MAX($AA$4:AA1219)+1,""))</f>
        <v/>
      </c>
    </row>
    <row r="1221" spans="1:27">
      <c r="A1221" s="9"/>
      <c r="Z1221">
        <f>TRIM(A1221&amp;"")</f>
        <v/>
      </c>
      <c r="AA1221">
        <f>IF(Z1221="","",IF(MATCH(SUBSTITUTE(SUBSTITUTE(SUBSTITUTE(Z1221,"~","~~"),"*","~*"),"?","~?"),$Z$5:$Z$5004,0)=1217,MAX($AA$4:AA1220)+1,""))</f>
        <v/>
      </c>
    </row>
    <row r="1222" spans="1:27">
      <c r="A1222" s="9"/>
      <c r="Z1222">
        <f>TRIM(A1222&amp;"")</f>
        <v/>
      </c>
      <c r="AA1222">
        <f>IF(Z1222="","",IF(MATCH(SUBSTITUTE(SUBSTITUTE(SUBSTITUTE(Z1222,"~","~~"),"*","~*"),"?","~?"),$Z$5:$Z$5004,0)=1218,MAX($AA$4:AA1221)+1,""))</f>
        <v/>
      </c>
    </row>
    <row r="1223" spans="1:27">
      <c r="A1223" s="9"/>
      <c r="Z1223">
        <f>TRIM(A1223&amp;"")</f>
        <v/>
      </c>
      <c r="AA1223">
        <f>IF(Z1223="","",IF(MATCH(SUBSTITUTE(SUBSTITUTE(SUBSTITUTE(Z1223,"~","~~"),"*","~*"),"?","~?"),$Z$5:$Z$5004,0)=1219,MAX($AA$4:AA1222)+1,""))</f>
        <v/>
      </c>
    </row>
    <row r="1224" spans="1:27">
      <c r="A1224" s="9"/>
      <c r="Z1224">
        <f>TRIM(A1224&amp;"")</f>
        <v/>
      </c>
      <c r="AA1224">
        <f>IF(Z1224="","",IF(MATCH(SUBSTITUTE(SUBSTITUTE(SUBSTITUTE(Z1224,"~","~~"),"*","~*"),"?","~?"),$Z$5:$Z$5004,0)=1220,MAX($AA$4:AA1223)+1,""))</f>
        <v/>
      </c>
    </row>
    <row r="1225" spans="1:27">
      <c r="A1225" s="9"/>
      <c r="Z1225">
        <f>TRIM(A1225&amp;"")</f>
        <v/>
      </c>
      <c r="AA1225">
        <f>IF(Z1225="","",IF(MATCH(SUBSTITUTE(SUBSTITUTE(SUBSTITUTE(Z1225,"~","~~"),"*","~*"),"?","~?"),$Z$5:$Z$5004,0)=1221,MAX($AA$4:AA1224)+1,""))</f>
        <v/>
      </c>
    </row>
    <row r="1226" spans="1:27">
      <c r="A1226" s="9"/>
      <c r="Z1226">
        <f>TRIM(A1226&amp;"")</f>
        <v/>
      </c>
      <c r="AA1226">
        <f>IF(Z1226="","",IF(MATCH(SUBSTITUTE(SUBSTITUTE(SUBSTITUTE(Z1226,"~","~~"),"*","~*"),"?","~?"),$Z$5:$Z$5004,0)=1222,MAX($AA$4:AA1225)+1,""))</f>
        <v/>
      </c>
    </row>
    <row r="1227" spans="1:27">
      <c r="A1227" s="9"/>
      <c r="Z1227">
        <f>TRIM(A1227&amp;"")</f>
        <v/>
      </c>
      <c r="AA1227">
        <f>IF(Z1227="","",IF(MATCH(SUBSTITUTE(SUBSTITUTE(SUBSTITUTE(Z1227,"~","~~"),"*","~*"),"?","~?"),$Z$5:$Z$5004,0)=1223,MAX($AA$4:AA1226)+1,""))</f>
        <v/>
      </c>
    </row>
    <row r="1228" spans="1:27">
      <c r="A1228" s="9"/>
      <c r="Z1228">
        <f>TRIM(A1228&amp;"")</f>
        <v/>
      </c>
      <c r="AA1228">
        <f>IF(Z1228="","",IF(MATCH(SUBSTITUTE(SUBSTITUTE(SUBSTITUTE(Z1228,"~","~~"),"*","~*"),"?","~?"),$Z$5:$Z$5004,0)=1224,MAX($AA$4:AA1227)+1,""))</f>
        <v/>
      </c>
    </row>
    <row r="1229" spans="1:27">
      <c r="A1229" s="9"/>
      <c r="Z1229">
        <f>TRIM(A1229&amp;"")</f>
        <v/>
      </c>
      <c r="AA1229">
        <f>IF(Z1229="","",IF(MATCH(SUBSTITUTE(SUBSTITUTE(SUBSTITUTE(Z1229,"~","~~"),"*","~*"),"?","~?"),$Z$5:$Z$5004,0)=1225,MAX($AA$4:AA1228)+1,""))</f>
        <v/>
      </c>
    </row>
    <row r="1230" spans="1:27">
      <c r="A1230" s="9"/>
      <c r="Z1230">
        <f>TRIM(A1230&amp;"")</f>
        <v/>
      </c>
      <c r="AA1230">
        <f>IF(Z1230="","",IF(MATCH(SUBSTITUTE(SUBSTITUTE(SUBSTITUTE(Z1230,"~","~~"),"*","~*"),"?","~?"),$Z$5:$Z$5004,0)=1226,MAX($AA$4:AA1229)+1,""))</f>
        <v/>
      </c>
    </row>
    <row r="1231" spans="1:27">
      <c r="A1231" s="9"/>
      <c r="Z1231">
        <f>TRIM(A1231&amp;"")</f>
        <v/>
      </c>
      <c r="AA1231">
        <f>IF(Z1231="","",IF(MATCH(SUBSTITUTE(SUBSTITUTE(SUBSTITUTE(Z1231,"~","~~"),"*","~*"),"?","~?"),$Z$5:$Z$5004,0)=1227,MAX($AA$4:AA1230)+1,""))</f>
        <v/>
      </c>
    </row>
    <row r="1232" spans="1:27">
      <c r="A1232" s="9"/>
      <c r="Z1232">
        <f>TRIM(A1232&amp;"")</f>
        <v/>
      </c>
      <c r="AA1232">
        <f>IF(Z1232="","",IF(MATCH(SUBSTITUTE(SUBSTITUTE(SUBSTITUTE(Z1232,"~","~~"),"*","~*"),"?","~?"),$Z$5:$Z$5004,0)=1228,MAX($AA$4:AA1231)+1,""))</f>
        <v/>
      </c>
    </row>
    <row r="1233" spans="1:27">
      <c r="A1233" s="9"/>
      <c r="Z1233">
        <f>TRIM(A1233&amp;"")</f>
        <v/>
      </c>
      <c r="AA1233">
        <f>IF(Z1233="","",IF(MATCH(SUBSTITUTE(SUBSTITUTE(SUBSTITUTE(Z1233,"~","~~"),"*","~*"),"?","~?"),$Z$5:$Z$5004,0)=1229,MAX($AA$4:AA1232)+1,""))</f>
        <v/>
      </c>
    </row>
    <row r="1234" spans="1:27">
      <c r="A1234" s="9"/>
      <c r="Z1234">
        <f>TRIM(A1234&amp;"")</f>
        <v/>
      </c>
      <c r="AA1234">
        <f>IF(Z1234="","",IF(MATCH(SUBSTITUTE(SUBSTITUTE(SUBSTITUTE(Z1234,"~","~~"),"*","~*"),"?","~?"),$Z$5:$Z$5004,0)=1230,MAX($AA$4:AA1233)+1,""))</f>
        <v/>
      </c>
    </row>
    <row r="1235" spans="1:27">
      <c r="A1235" s="9"/>
      <c r="Z1235">
        <f>TRIM(A1235&amp;"")</f>
        <v/>
      </c>
      <c r="AA1235">
        <f>IF(Z1235="","",IF(MATCH(SUBSTITUTE(SUBSTITUTE(SUBSTITUTE(Z1235,"~","~~"),"*","~*"),"?","~?"),$Z$5:$Z$5004,0)=1231,MAX($AA$4:AA1234)+1,""))</f>
        <v/>
      </c>
    </row>
    <row r="1236" spans="1:27">
      <c r="A1236" s="9"/>
      <c r="Z1236">
        <f>TRIM(A1236&amp;"")</f>
        <v/>
      </c>
      <c r="AA1236">
        <f>IF(Z1236="","",IF(MATCH(SUBSTITUTE(SUBSTITUTE(SUBSTITUTE(Z1236,"~","~~"),"*","~*"),"?","~?"),$Z$5:$Z$5004,0)=1232,MAX($AA$4:AA1235)+1,""))</f>
        <v/>
      </c>
    </row>
    <row r="1237" spans="1:27">
      <c r="A1237" s="9"/>
      <c r="Z1237">
        <f>TRIM(A1237&amp;"")</f>
        <v/>
      </c>
      <c r="AA1237">
        <f>IF(Z1237="","",IF(MATCH(SUBSTITUTE(SUBSTITUTE(SUBSTITUTE(Z1237,"~","~~"),"*","~*"),"?","~?"),$Z$5:$Z$5004,0)=1233,MAX($AA$4:AA1236)+1,""))</f>
        <v/>
      </c>
    </row>
    <row r="1238" spans="1:27">
      <c r="A1238" s="9"/>
      <c r="Z1238">
        <f>TRIM(A1238&amp;"")</f>
        <v/>
      </c>
      <c r="AA1238">
        <f>IF(Z1238="","",IF(MATCH(SUBSTITUTE(SUBSTITUTE(SUBSTITUTE(Z1238,"~","~~"),"*","~*"),"?","~?"),$Z$5:$Z$5004,0)=1234,MAX($AA$4:AA1237)+1,""))</f>
        <v/>
      </c>
    </row>
    <row r="1239" spans="1:27">
      <c r="A1239" s="9"/>
      <c r="Z1239">
        <f>TRIM(A1239&amp;"")</f>
        <v/>
      </c>
      <c r="AA1239">
        <f>IF(Z1239="","",IF(MATCH(SUBSTITUTE(SUBSTITUTE(SUBSTITUTE(Z1239,"~","~~"),"*","~*"),"?","~?"),$Z$5:$Z$5004,0)=1235,MAX($AA$4:AA1238)+1,""))</f>
        <v/>
      </c>
    </row>
    <row r="1240" spans="1:27">
      <c r="A1240" s="9"/>
      <c r="Z1240">
        <f>TRIM(A1240&amp;"")</f>
        <v/>
      </c>
      <c r="AA1240">
        <f>IF(Z1240="","",IF(MATCH(SUBSTITUTE(SUBSTITUTE(SUBSTITUTE(Z1240,"~","~~"),"*","~*"),"?","~?"),$Z$5:$Z$5004,0)=1236,MAX($AA$4:AA1239)+1,""))</f>
        <v/>
      </c>
    </row>
    <row r="1241" spans="1:27">
      <c r="A1241" s="9"/>
      <c r="Z1241">
        <f>TRIM(A1241&amp;"")</f>
        <v/>
      </c>
      <c r="AA1241">
        <f>IF(Z1241="","",IF(MATCH(SUBSTITUTE(SUBSTITUTE(SUBSTITUTE(Z1241,"~","~~"),"*","~*"),"?","~?"),$Z$5:$Z$5004,0)=1237,MAX($AA$4:AA1240)+1,""))</f>
        <v/>
      </c>
    </row>
    <row r="1242" spans="1:27">
      <c r="A1242" s="9"/>
      <c r="Z1242">
        <f>TRIM(A1242&amp;"")</f>
        <v/>
      </c>
      <c r="AA1242">
        <f>IF(Z1242="","",IF(MATCH(SUBSTITUTE(SUBSTITUTE(SUBSTITUTE(Z1242,"~","~~"),"*","~*"),"?","~?"),$Z$5:$Z$5004,0)=1238,MAX($AA$4:AA1241)+1,""))</f>
        <v/>
      </c>
    </row>
    <row r="1243" spans="1:27">
      <c r="A1243" s="9"/>
      <c r="Z1243">
        <f>TRIM(A1243&amp;"")</f>
        <v/>
      </c>
      <c r="AA1243">
        <f>IF(Z1243="","",IF(MATCH(SUBSTITUTE(SUBSTITUTE(SUBSTITUTE(Z1243,"~","~~"),"*","~*"),"?","~?"),$Z$5:$Z$5004,0)=1239,MAX($AA$4:AA1242)+1,""))</f>
        <v/>
      </c>
    </row>
    <row r="1244" spans="1:27">
      <c r="A1244" s="9"/>
      <c r="Z1244">
        <f>TRIM(A1244&amp;"")</f>
        <v/>
      </c>
      <c r="AA1244">
        <f>IF(Z1244="","",IF(MATCH(SUBSTITUTE(SUBSTITUTE(SUBSTITUTE(Z1244,"~","~~"),"*","~*"),"?","~?"),$Z$5:$Z$5004,0)=1240,MAX($AA$4:AA1243)+1,""))</f>
        <v/>
      </c>
    </row>
    <row r="1245" spans="1:27">
      <c r="A1245" s="9"/>
      <c r="Z1245">
        <f>TRIM(A1245&amp;"")</f>
        <v/>
      </c>
      <c r="AA1245">
        <f>IF(Z1245="","",IF(MATCH(SUBSTITUTE(SUBSTITUTE(SUBSTITUTE(Z1245,"~","~~"),"*","~*"),"?","~?"),$Z$5:$Z$5004,0)=1241,MAX($AA$4:AA1244)+1,""))</f>
        <v/>
      </c>
    </row>
    <row r="1246" spans="1:27">
      <c r="A1246" s="9"/>
      <c r="Z1246">
        <f>TRIM(A1246&amp;"")</f>
        <v/>
      </c>
      <c r="AA1246">
        <f>IF(Z1246="","",IF(MATCH(SUBSTITUTE(SUBSTITUTE(SUBSTITUTE(Z1246,"~","~~"),"*","~*"),"?","~?"),$Z$5:$Z$5004,0)=1242,MAX($AA$4:AA1245)+1,""))</f>
        <v/>
      </c>
    </row>
    <row r="1247" spans="1:27">
      <c r="A1247" s="9"/>
      <c r="Z1247">
        <f>TRIM(A1247&amp;"")</f>
        <v/>
      </c>
      <c r="AA1247">
        <f>IF(Z1247="","",IF(MATCH(SUBSTITUTE(SUBSTITUTE(SUBSTITUTE(Z1247,"~","~~"),"*","~*"),"?","~?"),$Z$5:$Z$5004,0)=1243,MAX($AA$4:AA1246)+1,""))</f>
        <v/>
      </c>
    </row>
    <row r="1248" spans="1:27">
      <c r="A1248" s="9"/>
      <c r="Z1248">
        <f>TRIM(A1248&amp;"")</f>
        <v/>
      </c>
      <c r="AA1248">
        <f>IF(Z1248="","",IF(MATCH(SUBSTITUTE(SUBSTITUTE(SUBSTITUTE(Z1248,"~","~~"),"*","~*"),"?","~?"),$Z$5:$Z$5004,0)=1244,MAX($AA$4:AA1247)+1,""))</f>
        <v/>
      </c>
    </row>
    <row r="1249" spans="1:27">
      <c r="A1249" s="9"/>
      <c r="Z1249">
        <f>TRIM(A1249&amp;"")</f>
        <v/>
      </c>
      <c r="AA1249">
        <f>IF(Z1249="","",IF(MATCH(SUBSTITUTE(SUBSTITUTE(SUBSTITUTE(Z1249,"~","~~"),"*","~*"),"?","~?"),$Z$5:$Z$5004,0)=1245,MAX($AA$4:AA1248)+1,""))</f>
        <v/>
      </c>
    </row>
    <row r="1250" spans="1:27">
      <c r="A1250" s="9"/>
      <c r="Z1250">
        <f>TRIM(A1250&amp;"")</f>
        <v/>
      </c>
      <c r="AA1250">
        <f>IF(Z1250="","",IF(MATCH(SUBSTITUTE(SUBSTITUTE(SUBSTITUTE(Z1250,"~","~~"),"*","~*"),"?","~?"),$Z$5:$Z$5004,0)=1246,MAX($AA$4:AA1249)+1,""))</f>
        <v/>
      </c>
    </row>
    <row r="1251" spans="1:27">
      <c r="A1251" s="9"/>
      <c r="Z1251">
        <f>TRIM(A1251&amp;"")</f>
        <v/>
      </c>
      <c r="AA1251">
        <f>IF(Z1251="","",IF(MATCH(SUBSTITUTE(SUBSTITUTE(SUBSTITUTE(Z1251,"~","~~"),"*","~*"),"?","~?"),$Z$5:$Z$5004,0)=1247,MAX($AA$4:AA1250)+1,""))</f>
        <v/>
      </c>
    </row>
    <row r="1252" spans="1:27">
      <c r="A1252" s="9"/>
      <c r="Z1252">
        <f>TRIM(A1252&amp;"")</f>
        <v/>
      </c>
      <c r="AA1252">
        <f>IF(Z1252="","",IF(MATCH(SUBSTITUTE(SUBSTITUTE(SUBSTITUTE(Z1252,"~","~~"),"*","~*"),"?","~?"),$Z$5:$Z$5004,0)=1248,MAX($AA$4:AA1251)+1,""))</f>
        <v/>
      </c>
    </row>
    <row r="1253" spans="1:27">
      <c r="A1253" s="9"/>
      <c r="Z1253">
        <f>TRIM(A1253&amp;"")</f>
        <v/>
      </c>
      <c r="AA1253">
        <f>IF(Z1253="","",IF(MATCH(SUBSTITUTE(SUBSTITUTE(SUBSTITUTE(Z1253,"~","~~"),"*","~*"),"?","~?"),$Z$5:$Z$5004,0)=1249,MAX($AA$4:AA1252)+1,""))</f>
        <v/>
      </c>
    </row>
    <row r="1254" spans="1:27">
      <c r="A1254" s="9"/>
      <c r="Z1254">
        <f>TRIM(A1254&amp;"")</f>
        <v/>
      </c>
      <c r="AA1254">
        <f>IF(Z1254="","",IF(MATCH(SUBSTITUTE(SUBSTITUTE(SUBSTITUTE(Z1254,"~","~~"),"*","~*"),"?","~?"),$Z$5:$Z$5004,0)=1250,MAX($AA$4:AA1253)+1,""))</f>
        <v/>
      </c>
    </row>
    <row r="1255" spans="1:27">
      <c r="A1255" s="9"/>
      <c r="Z1255">
        <f>TRIM(A1255&amp;"")</f>
        <v/>
      </c>
      <c r="AA1255">
        <f>IF(Z1255="","",IF(MATCH(SUBSTITUTE(SUBSTITUTE(SUBSTITUTE(Z1255,"~","~~"),"*","~*"),"?","~?"),$Z$5:$Z$5004,0)=1251,MAX($AA$4:AA1254)+1,""))</f>
        <v/>
      </c>
    </row>
    <row r="1256" spans="1:27">
      <c r="A1256" s="9"/>
      <c r="Z1256">
        <f>TRIM(A1256&amp;"")</f>
        <v/>
      </c>
      <c r="AA1256">
        <f>IF(Z1256="","",IF(MATCH(SUBSTITUTE(SUBSTITUTE(SUBSTITUTE(Z1256,"~","~~"),"*","~*"),"?","~?"),$Z$5:$Z$5004,0)=1252,MAX($AA$4:AA1255)+1,""))</f>
        <v/>
      </c>
    </row>
    <row r="1257" spans="1:27">
      <c r="A1257" s="9"/>
      <c r="Z1257">
        <f>TRIM(A1257&amp;"")</f>
        <v/>
      </c>
      <c r="AA1257">
        <f>IF(Z1257="","",IF(MATCH(SUBSTITUTE(SUBSTITUTE(SUBSTITUTE(Z1257,"~","~~"),"*","~*"),"?","~?"),$Z$5:$Z$5004,0)=1253,MAX($AA$4:AA1256)+1,""))</f>
        <v/>
      </c>
    </row>
    <row r="1258" spans="1:27">
      <c r="A1258" s="9"/>
      <c r="Z1258">
        <f>TRIM(A1258&amp;"")</f>
        <v/>
      </c>
      <c r="AA1258">
        <f>IF(Z1258="","",IF(MATCH(SUBSTITUTE(SUBSTITUTE(SUBSTITUTE(Z1258,"~","~~"),"*","~*"),"?","~?"),$Z$5:$Z$5004,0)=1254,MAX($AA$4:AA1257)+1,""))</f>
        <v/>
      </c>
    </row>
    <row r="1259" spans="1:27">
      <c r="A1259" s="9"/>
      <c r="Z1259">
        <f>TRIM(A1259&amp;"")</f>
        <v/>
      </c>
      <c r="AA1259">
        <f>IF(Z1259="","",IF(MATCH(SUBSTITUTE(SUBSTITUTE(SUBSTITUTE(Z1259,"~","~~"),"*","~*"),"?","~?"),$Z$5:$Z$5004,0)=1255,MAX($AA$4:AA1258)+1,""))</f>
        <v/>
      </c>
    </row>
    <row r="1260" spans="1:27">
      <c r="A1260" s="9"/>
      <c r="Z1260">
        <f>TRIM(A1260&amp;"")</f>
        <v/>
      </c>
      <c r="AA1260">
        <f>IF(Z1260="","",IF(MATCH(SUBSTITUTE(SUBSTITUTE(SUBSTITUTE(Z1260,"~","~~"),"*","~*"),"?","~?"),$Z$5:$Z$5004,0)=1256,MAX($AA$4:AA1259)+1,""))</f>
        <v/>
      </c>
    </row>
    <row r="1261" spans="1:27">
      <c r="A1261" s="9"/>
      <c r="Z1261">
        <f>TRIM(A1261&amp;"")</f>
        <v/>
      </c>
      <c r="AA1261">
        <f>IF(Z1261="","",IF(MATCH(SUBSTITUTE(SUBSTITUTE(SUBSTITUTE(Z1261,"~","~~"),"*","~*"),"?","~?"),$Z$5:$Z$5004,0)=1257,MAX($AA$4:AA1260)+1,""))</f>
        <v/>
      </c>
    </row>
    <row r="1262" spans="1:27">
      <c r="A1262" s="9"/>
      <c r="Z1262">
        <f>TRIM(A1262&amp;"")</f>
        <v/>
      </c>
      <c r="AA1262">
        <f>IF(Z1262="","",IF(MATCH(SUBSTITUTE(SUBSTITUTE(SUBSTITUTE(Z1262,"~","~~"),"*","~*"),"?","~?"),$Z$5:$Z$5004,0)=1258,MAX($AA$4:AA1261)+1,""))</f>
        <v/>
      </c>
    </row>
    <row r="1263" spans="1:27">
      <c r="A1263" s="9"/>
      <c r="Z1263">
        <f>TRIM(A1263&amp;"")</f>
        <v/>
      </c>
      <c r="AA1263">
        <f>IF(Z1263="","",IF(MATCH(SUBSTITUTE(SUBSTITUTE(SUBSTITUTE(Z1263,"~","~~"),"*","~*"),"?","~?"),$Z$5:$Z$5004,0)=1259,MAX($AA$4:AA1262)+1,""))</f>
        <v/>
      </c>
    </row>
    <row r="1264" spans="1:27">
      <c r="A1264" s="9"/>
      <c r="Z1264">
        <f>TRIM(A1264&amp;"")</f>
        <v/>
      </c>
      <c r="AA1264">
        <f>IF(Z1264="","",IF(MATCH(SUBSTITUTE(SUBSTITUTE(SUBSTITUTE(Z1264,"~","~~"),"*","~*"),"?","~?"),$Z$5:$Z$5004,0)=1260,MAX($AA$4:AA1263)+1,""))</f>
        <v/>
      </c>
    </row>
    <row r="1265" spans="1:27">
      <c r="A1265" s="9"/>
      <c r="Z1265">
        <f>TRIM(A1265&amp;"")</f>
        <v/>
      </c>
      <c r="AA1265">
        <f>IF(Z1265="","",IF(MATCH(SUBSTITUTE(SUBSTITUTE(SUBSTITUTE(Z1265,"~","~~"),"*","~*"),"?","~?"),$Z$5:$Z$5004,0)=1261,MAX($AA$4:AA1264)+1,""))</f>
        <v/>
      </c>
    </row>
    <row r="1266" spans="1:27">
      <c r="A1266" s="9"/>
      <c r="Z1266">
        <f>TRIM(A1266&amp;"")</f>
        <v/>
      </c>
      <c r="AA1266">
        <f>IF(Z1266="","",IF(MATCH(SUBSTITUTE(SUBSTITUTE(SUBSTITUTE(Z1266,"~","~~"),"*","~*"),"?","~?"),$Z$5:$Z$5004,0)=1262,MAX($AA$4:AA1265)+1,""))</f>
        <v/>
      </c>
    </row>
    <row r="1267" spans="1:27">
      <c r="A1267" s="9"/>
      <c r="Z1267">
        <f>TRIM(A1267&amp;"")</f>
        <v/>
      </c>
      <c r="AA1267">
        <f>IF(Z1267="","",IF(MATCH(SUBSTITUTE(SUBSTITUTE(SUBSTITUTE(Z1267,"~","~~"),"*","~*"),"?","~?"),$Z$5:$Z$5004,0)=1263,MAX($AA$4:AA1266)+1,""))</f>
        <v/>
      </c>
    </row>
    <row r="1268" spans="1:27">
      <c r="A1268" s="9"/>
      <c r="Z1268">
        <f>TRIM(A1268&amp;"")</f>
        <v/>
      </c>
      <c r="AA1268">
        <f>IF(Z1268="","",IF(MATCH(SUBSTITUTE(SUBSTITUTE(SUBSTITUTE(Z1268,"~","~~"),"*","~*"),"?","~?"),$Z$5:$Z$5004,0)=1264,MAX($AA$4:AA1267)+1,""))</f>
        <v/>
      </c>
    </row>
    <row r="1269" spans="1:27">
      <c r="A1269" s="9"/>
      <c r="Z1269">
        <f>TRIM(A1269&amp;"")</f>
        <v/>
      </c>
      <c r="AA1269">
        <f>IF(Z1269="","",IF(MATCH(SUBSTITUTE(SUBSTITUTE(SUBSTITUTE(Z1269,"~","~~"),"*","~*"),"?","~?"),$Z$5:$Z$5004,0)=1265,MAX($AA$4:AA1268)+1,""))</f>
        <v/>
      </c>
    </row>
    <row r="1270" spans="1:27">
      <c r="A1270" s="9"/>
      <c r="Z1270">
        <f>TRIM(A1270&amp;"")</f>
        <v/>
      </c>
      <c r="AA1270">
        <f>IF(Z1270="","",IF(MATCH(SUBSTITUTE(SUBSTITUTE(SUBSTITUTE(Z1270,"~","~~"),"*","~*"),"?","~?"),$Z$5:$Z$5004,0)=1266,MAX($AA$4:AA1269)+1,""))</f>
        <v/>
      </c>
    </row>
    <row r="1271" spans="1:27">
      <c r="A1271" s="9"/>
      <c r="Z1271">
        <f>TRIM(A1271&amp;"")</f>
        <v/>
      </c>
      <c r="AA1271">
        <f>IF(Z1271="","",IF(MATCH(SUBSTITUTE(SUBSTITUTE(SUBSTITUTE(Z1271,"~","~~"),"*","~*"),"?","~?"),$Z$5:$Z$5004,0)=1267,MAX($AA$4:AA1270)+1,""))</f>
        <v/>
      </c>
    </row>
    <row r="1272" spans="1:27">
      <c r="A1272" s="9"/>
      <c r="Z1272">
        <f>TRIM(A1272&amp;"")</f>
        <v/>
      </c>
      <c r="AA1272">
        <f>IF(Z1272="","",IF(MATCH(SUBSTITUTE(SUBSTITUTE(SUBSTITUTE(Z1272,"~","~~"),"*","~*"),"?","~?"),$Z$5:$Z$5004,0)=1268,MAX($AA$4:AA1271)+1,""))</f>
        <v/>
      </c>
    </row>
    <row r="1273" spans="1:27">
      <c r="A1273" s="9"/>
      <c r="Z1273">
        <f>TRIM(A1273&amp;"")</f>
        <v/>
      </c>
      <c r="AA1273">
        <f>IF(Z1273="","",IF(MATCH(SUBSTITUTE(SUBSTITUTE(SUBSTITUTE(Z1273,"~","~~"),"*","~*"),"?","~?"),$Z$5:$Z$5004,0)=1269,MAX($AA$4:AA1272)+1,""))</f>
        <v/>
      </c>
    </row>
    <row r="1274" spans="1:27">
      <c r="A1274" s="9"/>
      <c r="Z1274">
        <f>TRIM(A1274&amp;"")</f>
        <v/>
      </c>
      <c r="AA1274">
        <f>IF(Z1274="","",IF(MATCH(SUBSTITUTE(SUBSTITUTE(SUBSTITUTE(Z1274,"~","~~"),"*","~*"),"?","~?"),$Z$5:$Z$5004,0)=1270,MAX($AA$4:AA1273)+1,""))</f>
        <v/>
      </c>
    </row>
    <row r="1275" spans="1:27">
      <c r="A1275" s="9"/>
      <c r="Z1275">
        <f>TRIM(A1275&amp;"")</f>
        <v/>
      </c>
      <c r="AA1275">
        <f>IF(Z1275="","",IF(MATCH(SUBSTITUTE(SUBSTITUTE(SUBSTITUTE(Z1275,"~","~~"),"*","~*"),"?","~?"),$Z$5:$Z$5004,0)=1271,MAX($AA$4:AA1274)+1,""))</f>
        <v/>
      </c>
    </row>
    <row r="1276" spans="1:27">
      <c r="A1276" s="9"/>
      <c r="Z1276">
        <f>TRIM(A1276&amp;"")</f>
        <v/>
      </c>
      <c r="AA1276">
        <f>IF(Z1276="","",IF(MATCH(SUBSTITUTE(SUBSTITUTE(SUBSTITUTE(Z1276,"~","~~"),"*","~*"),"?","~?"),$Z$5:$Z$5004,0)=1272,MAX($AA$4:AA1275)+1,""))</f>
        <v/>
      </c>
    </row>
    <row r="1277" spans="1:27">
      <c r="A1277" s="9"/>
      <c r="Z1277">
        <f>TRIM(A1277&amp;"")</f>
        <v/>
      </c>
      <c r="AA1277">
        <f>IF(Z1277="","",IF(MATCH(SUBSTITUTE(SUBSTITUTE(SUBSTITUTE(Z1277,"~","~~"),"*","~*"),"?","~?"),$Z$5:$Z$5004,0)=1273,MAX($AA$4:AA1276)+1,""))</f>
        <v/>
      </c>
    </row>
    <row r="1278" spans="1:27">
      <c r="A1278" s="9"/>
      <c r="Z1278">
        <f>TRIM(A1278&amp;"")</f>
        <v/>
      </c>
      <c r="AA1278">
        <f>IF(Z1278="","",IF(MATCH(SUBSTITUTE(SUBSTITUTE(SUBSTITUTE(Z1278,"~","~~"),"*","~*"),"?","~?"),$Z$5:$Z$5004,0)=1274,MAX($AA$4:AA1277)+1,""))</f>
        <v/>
      </c>
    </row>
    <row r="1279" spans="1:27">
      <c r="A1279" s="9"/>
      <c r="Z1279">
        <f>TRIM(A1279&amp;"")</f>
        <v/>
      </c>
      <c r="AA1279">
        <f>IF(Z1279="","",IF(MATCH(SUBSTITUTE(SUBSTITUTE(SUBSTITUTE(Z1279,"~","~~"),"*","~*"),"?","~?"),$Z$5:$Z$5004,0)=1275,MAX($AA$4:AA1278)+1,""))</f>
        <v/>
      </c>
    </row>
    <row r="1280" spans="1:27">
      <c r="A1280" s="9"/>
      <c r="Z1280">
        <f>TRIM(A1280&amp;"")</f>
        <v/>
      </c>
      <c r="AA1280">
        <f>IF(Z1280="","",IF(MATCH(SUBSTITUTE(SUBSTITUTE(SUBSTITUTE(Z1280,"~","~~"),"*","~*"),"?","~?"),$Z$5:$Z$5004,0)=1276,MAX($AA$4:AA1279)+1,""))</f>
        <v/>
      </c>
    </row>
    <row r="1281" spans="1:27">
      <c r="A1281" s="9"/>
      <c r="Z1281">
        <f>TRIM(A1281&amp;"")</f>
        <v/>
      </c>
      <c r="AA1281">
        <f>IF(Z1281="","",IF(MATCH(SUBSTITUTE(SUBSTITUTE(SUBSTITUTE(Z1281,"~","~~"),"*","~*"),"?","~?"),$Z$5:$Z$5004,0)=1277,MAX($AA$4:AA1280)+1,""))</f>
        <v/>
      </c>
    </row>
    <row r="1282" spans="1:27">
      <c r="A1282" s="9"/>
      <c r="Z1282">
        <f>TRIM(A1282&amp;"")</f>
        <v/>
      </c>
      <c r="AA1282">
        <f>IF(Z1282="","",IF(MATCH(SUBSTITUTE(SUBSTITUTE(SUBSTITUTE(Z1282,"~","~~"),"*","~*"),"?","~?"),$Z$5:$Z$5004,0)=1278,MAX($AA$4:AA1281)+1,""))</f>
        <v/>
      </c>
    </row>
    <row r="1283" spans="1:27">
      <c r="A1283" s="9"/>
      <c r="Z1283">
        <f>TRIM(A1283&amp;"")</f>
        <v/>
      </c>
      <c r="AA1283">
        <f>IF(Z1283="","",IF(MATCH(SUBSTITUTE(SUBSTITUTE(SUBSTITUTE(Z1283,"~","~~"),"*","~*"),"?","~?"),$Z$5:$Z$5004,0)=1279,MAX($AA$4:AA1282)+1,""))</f>
        <v/>
      </c>
    </row>
    <row r="1284" spans="1:27">
      <c r="A1284" s="9"/>
      <c r="Z1284">
        <f>TRIM(A1284&amp;"")</f>
        <v/>
      </c>
      <c r="AA1284">
        <f>IF(Z1284="","",IF(MATCH(SUBSTITUTE(SUBSTITUTE(SUBSTITUTE(Z1284,"~","~~"),"*","~*"),"?","~?"),$Z$5:$Z$5004,0)=1280,MAX($AA$4:AA1283)+1,""))</f>
        <v/>
      </c>
    </row>
    <row r="1285" spans="1:27">
      <c r="A1285" s="9"/>
      <c r="Z1285">
        <f>TRIM(A1285&amp;"")</f>
        <v/>
      </c>
      <c r="AA1285">
        <f>IF(Z1285="","",IF(MATCH(SUBSTITUTE(SUBSTITUTE(SUBSTITUTE(Z1285,"~","~~"),"*","~*"),"?","~?"),$Z$5:$Z$5004,0)=1281,MAX($AA$4:AA1284)+1,""))</f>
        <v/>
      </c>
    </row>
    <row r="1286" spans="1:27">
      <c r="A1286" s="9"/>
      <c r="Z1286">
        <f>TRIM(A1286&amp;"")</f>
        <v/>
      </c>
      <c r="AA1286">
        <f>IF(Z1286="","",IF(MATCH(SUBSTITUTE(SUBSTITUTE(SUBSTITUTE(Z1286,"~","~~"),"*","~*"),"?","~?"),$Z$5:$Z$5004,0)=1282,MAX($AA$4:AA1285)+1,""))</f>
        <v/>
      </c>
    </row>
    <row r="1287" spans="1:27">
      <c r="A1287" s="9"/>
      <c r="Z1287">
        <f>TRIM(A1287&amp;"")</f>
        <v/>
      </c>
      <c r="AA1287">
        <f>IF(Z1287="","",IF(MATCH(SUBSTITUTE(SUBSTITUTE(SUBSTITUTE(Z1287,"~","~~"),"*","~*"),"?","~?"),$Z$5:$Z$5004,0)=1283,MAX($AA$4:AA1286)+1,""))</f>
        <v/>
      </c>
    </row>
    <row r="1288" spans="1:27">
      <c r="A1288" s="9"/>
      <c r="Z1288">
        <f>TRIM(A1288&amp;"")</f>
        <v/>
      </c>
      <c r="AA1288">
        <f>IF(Z1288="","",IF(MATCH(SUBSTITUTE(SUBSTITUTE(SUBSTITUTE(Z1288,"~","~~"),"*","~*"),"?","~?"),$Z$5:$Z$5004,0)=1284,MAX($AA$4:AA1287)+1,""))</f>
        <v/>
      </c>
    </row>
    <row r="1289" spans="1:27">
      <c r="A1289" s="9"/>
      <c r="Z1289">
        <f>TRIM(A1289&amp;"")</f>
        <v/>
      </c>
      <c r="AA1289">
        <f>IF(Z1289="","",IF(MATCH(SUBSTITUTE(SUBSTITUTE(SUBSTITUTE(Z1289,"~","~~"),"*","~*"),"?","~?"),$Z$5:$Z$5004,0)=1285,MAX($AA$4:AA1288)+1,""))</f>
        <v/>
      </c>
    </row>
    <row r="1290" spans="1:27">
      <c r="A1290" s="9"/>
      <c r="Z1290">
        <f>TRIM(A1290&amp;"")</f>
        <v/>
      </c>
      <c r="AA1290">
        <f>IF(Z1290="","",IF(MATCH(SUBSTITUTE(SUBSTITUTE(SUBSTITUTE(Z1290,"~","~~"),"*","~*"),"?","~?"),$Z$5:$Z$5004,0)=1286,MAX($AA$4:AA1289)+1,""))</f>
        <v/>
      </c>
    </row>
    <row r="1291" spans="1:27">
      <c r="A1291" s="9"/>
      <c r="Z1291">
        <f>TRIM(A1291&amp;"")</f>
        <v/>
      </c>
      <c r="AA1291">
        <f>IF(Z1291="","",IF(MATCH(SUBSTITUTE(SUBSTITUTE(SUBSTITUTE(Z1291,"~","~~"),"*","~*"),"?","~?"),$Z$5:$Z$5004,0)=1287,MAX($AA$4:AA1290)+1,""))</f>
        <v/>
      </c>
    </row>
    <row r="1292" spans="1:27">
      <c r="A1292" s="9"/>
      <c r="Z1292">
        <f>TRIM(A1292&amp;"")</f>
        <v/>
      </c>
      <c r="AA1292">
        <f>IF(Z1292="","",IF(MATCH(SUBSTITUTE(SUBSTITUTE(SUBSTITUTE(Z1292,"~","~~"),"*","~*"),"?","~?"),$Z$5:$Z$5004,0)=1288,MAX($AA$4:AA1291)+1,""))</f>
        <v/>
      </c>
    </row>
    <row r="1293" spans="1:27">
      <c r="A1293" s="9"/>
      <c r="Z1293">
        <f>TRIM(A1293&amp;"")</f>
        <v/>
      </c>
      <c r="AA1293">
        <f>IF(Z1293="","",IF(MATCH(SUBSTITUTE(SUBSTITUTE(SUBSTITUTE(Z1293,"~","~~"),"*","~*"),"?","~?"),$Z$5:$Z$5004,0)=1289,MAX($AA$4:AA1292)+1,""))</f>
        <v/>
      </c>
    </row>
    <row r="1294" spans="1:27">
      <c r="A1294" s="9"/>
      <c r="Z1294">
        <f>TRIM(A1294&amp;"")</f>
        <v/>
      </c>
      <c r="AA1294">
        <f>IF(Z1294="","",IF(MATCH(SUBSTITUTE(SUBSTITUTE(SUBSTITUTE(Z1294,"~","~~"),"*","~*"),"?","~?"),$Z$5:$Z$5004,0)=1290,MAX($AA$4:AA1293)+1,""))</f>
        <v/>
      </c>
    </row>
    <row r="1295" spans="1:27">
      <c r="A1295" s="9"/>
      <c r="Z1295">
        <f>TRIM(A1295&amp;"")</f>
        <v/>
      </c>
      <c r="AA1295">
        <f>IF(Z1295="","",IF(MATCH(SUBSTITUTE(SUBSTITUTE(SUBSTITUTE(Z1295,"~","~~"),"*","~*"),"?","~?"),$Z$5:$Z$5004,0)=1291,MAX($AA$4:AA1294)+1,""))</f>
        <v/>
      </c>
    </row>
    <row r="1296" spans="1:27">
      <c r="A1296" s="9"/>
      <c r="Z1296">
        <f>TRIM(A1296&amp;"")</f>
        <v/>
      </c>
      <c r="AA1296">
        <f>IF(Z1296="","",IF(MATCH(SUBSTITUTE(SUBSTITUTE(SUBSTITUTE(Z1296,"~","~~"),"*","~*"),"?","~?"),$Z$5:$Z$5004,0)=1292,MAX($AA$4:AA1295)+1,""))</f>
        <v/>
      </c>
    </row>
    <row r="1297" spans="1:27">
      <c r="A1297" s="9"/>
      <c r="Z1297">
        <f>TRIM(A1297&amp;"")</f>
        <v/>
      </c>
      <c r="AA1297">
        <f>IF(Z1297="","",IF(MATCH(SUBSTITUTE(SUBSTITUTE(SUBSTITUTE(Z1297,"~","~~"),"*","~*"),"?","~?"),$Z$5:$Z$5004,0)=1293,MAX($AA$4:AA1296)+1,""))</f>
        <v/>
      </c>
    </row>
    <row r="1298" spans="1:27">
      <c r="A1298" s="9"/>
      <c r="Z1298">
        <f>TRIM(A1298&amp;"")</f>
        <v/>
      </c>
      <c r="AA1298">
        <f>IF(Z1298="","",IF(MATCH(SUBSTITUTE(SUBSTITUTE(SUBSTITUTE(Z1298,"~","~~"),"*","~*"),"?","~?"),$Z$5:$Z$5004,0)=1294,MAX($AA$4:AA1297)+1,""))</f>
        <v/>
      </c>
    </row>
    <row r="1299" spans="1:27">
      <c r="A1299" s="9"/>
      <c r="Z1299">
        <f>TRIM(A1299&amp;"")</f>
        <v/>
      </c>
      <c r="AA1299">
        <f>IF(Z1299="","",IF(MATCH(SUBSTITUTE(SUBSTITUTE(SUBSTITUTE(Z1299,"~","~~"),"*","~*"),"?","~?"),$Z$5:$Z$5004,0)=1295,MAX($AA$4:AA1298)+1,""))</f>
        <v/>
      </c>
    </row>
    <row r="1300" spans="1:27">
      <c r="A1300" s="9"/>
      <c r="Z1300">
        <f>TRIM(A1300&amp;"")</f>
        <v/>
      </c>
      <c r="AA1300">
        <f>IF(Z1300="","",IF(MATCH(SUBSTITUTE(SUBSTITUTE(SUBSTITUTE(Z1300,"~","~~"),"*","~*"),"?","~?"),$Z$5:$Z$5004,0)=1296,MAX($AA$4:AA1299)+1,""))</f>
        <v/>
      </c>
    </row>
    <row r="1301" spans="1:27">
      <c r="A1301" s="9"/>
      <c r="Z1301">
        <f>TRIM(A1301&amp;"")</f>
        <v/>
      </c>
      <c r="AA1301">
        <f>IF(Z1301="","",IF(MATCH(SUBSTITUTE(SUBSTITUTE(SUBSTITUTE(Z1301,"~","~~"),"*","~*"),"?","~?"),$Z$5:$Z$5004,0)=1297,MAX($AA$4:AA1300)+1,""))</f>
        <v/>
      </c>
    </row>
    <row r="1302" spans="1:27">
      <c r="A1302" s="9"/>
      <c r="Z1302">
        <f>TRIM(A1302&amp;"")</f>
        <v/>
      </c>
      <c r="AA1302">
        <f>IF(Z1302="","",IF(MATCH(SUBSTITUTE(SUBSTITUTE(SUBSTITUTE(Z1302,"~","~~"),"*","~*"),"?","~?"),$Z$5:$Z$5004,0)=1298,MAX($AA$4:AA1301)+1,""))</f>
        <v/>
      </c>
    </row>
    <row r="1303" spans="1:27">
      <c r="A1303" s="9"/>
      <c r="Z1303">
        <f>TRIM(A1303&amp;"")</f>
        <v/>
      </c>
      <c r="AA1303">
        <f>IF(Z1303="","",IF(MATCH(SUBSTITUTE(SUBSTITUTE(SUBSTITUTE(Z1303,"~","~~"),"*","~*"),"?","~?"),$Z$5:$Z$5004,0)=1299,MAX($AA$4:AA1302)+1,""))</f>
        <v/>
      </c>
    </row>
    <row r="1304" spans="1:27">
      <c r="A1304" s="9"/>
      <c r="Z1304">
        <f>TRIM(A1304&amp;"")</f>
        <v/>
      </c>
      <c r="AA1304">
        <f>IF(Z1304="","",IF(MATCH(SUBSTITUTE(SUBSTITUTE(SUBSTITUTE(Z1304,"~","~~"),"*","~*"),"?","~?"),$Z$5:$Z$5004,0)=1300,MAX($AA$4:AA1303)+1,""))</f>
        <v/>
      </c>
    </row>
    <row r="1305" spans="1:27">
      <c r="A1305" s="9"/>
      <c r="Z1305">
        <f>TRIM(A1305&amp;"")</f>
        <v/>
      </c>
      <c r="AA1305">
        <f>IF(Z1305="","",IF(MATCH(SUBSTITUTE(SUBSTITUTE(SUBSTITUTE(Z1305,"~","~~"),"*","~*"),"?","~?"),$Z$5:$Z$5004,0)=1301,MAX($AA$4:AA1304)+1,""))</f>
        <v/>
      </c>
    </row>
    <row r="1306" spans="1:27">
      <c r="A1306" s="9"/>
      <c r="Z1306">
        <f>TRIM(A1306&amp;"")</f>
        <v/>
      </c>
      <c r="AA1306">
        <f>IF(Z1306="","",IF(MATCH(SUBSTITUTE(SUBSTITUTE(SUBSTITUTE(Z1306,"~","~~"),"*","~*"),"?","~?"),$Z$5:$Z$5004,0)=1302,MAX($AA$4:AA1305)+1,""))</f>
        <v/>
      </c>
    </row>
    <row r="1307" spans="1:27">
      <c r="A1307" s="9"/>
      <c r="Z1307">
        <f>TRIM(A1307&amp;"")</f>
        <v/>
      </c>
      <c r="AA1307">
        <f>IF(Z1307="","",IF(MATCH(SUBSTITUTE(SUBSTITUTE(SUBSTITUTE(Z1307,"~","~~"),"*","~*"),"?","~?"),$Z$5:$Z$5004,0)=1303,MAX($AA$4:AA1306)+1,""))</f>
        <v/>
      </c>
    </row>
    <row r="1308" spans="1:27">
      <c r="A1308" s="9"/>
      <c r="Z1308">
        <f>TRIM(A1308&amp;"")</f>
        <v/>
      </c>
      <c r="AA1308">
        <f>IF(Z1308="","",IF(MATCH(SUBSTITUTE(SUBSTITUTE(SUBSTITUTE(Z1308,"~","~~"),"*","~*"),"?","~?"),$Z$5:$Z$5004,0)=1304,MAX($AA$4:AA1307)+1,""))</f>
        <v/>
      </c>
    </row>
    <row r="1309" spans="1:27">
      <c r="A1309" s="9"/>
      <c r="Z1309">
        <f>TRIM(A1309&amp;"")</f>
        <v/>
      </c>
      <c r="AA1309">
        <f>IF(Z1309="","",IF(MATCH(SUBSTITUTE(SUBSTITUTE(SUBSTITUTE(Z1309,"~","~~"),"*","~*"),"?","~?"),$Z$5:$Z$5004,0)=1305,MAX($AA$4:AA1308)+1,""))</f>
        <v/>
      </c>
    </row>
    <row r="1310" spans="1:27">
      <c r="A1310" s="9"/>
      <c r="Z1310">
        <f>TRIM(A1310&amp;"")</f>
        <v/>
      </c>
      <c r="AA1310">
        <f>IF(Z1310="","",IF(MATCH(SUBSTITUTE(SUBSTITUTE(SUBSTITUTE(Z1310,"~","~~"),"*","~*"),"?","~?"),$Z$5:$Z$5004,0)=1306,MAX($AA$4:AA1309)+1,""))</f>
        <v/>
      </c>
    </row>
    <row r="1311" spans="1:27">
      <c r="A1311" s="9"/>
      <c r="Z1311">
        <f>TRIM(A1311&amp;"")</f>
        <v/>
      </c>
      <c r="AA1311">
        <f>IF(Z1311="","",IF(MATCH(SUBSTITUTE(SUBSTITUTE(SUBSTITUTE(Z1311,"~","~~"),"*","~*"),"?","~?"),$Z$5:$Z$5004,0)=1307,MAX($AA$4:AA1310)+1,""))</f>
        <v/>
      </c>
    </row>
    <row r="1312" spans="1:27">
      <c r="A1312" s="9"/>
      <c r="Z1312">
        <f>TRIM(A1312&amp;"")</f>
        <v/>
      </c>
      <c r="AA1312">
        <f>IF(Z1312="","",IF(MATCH(SUBSTITUTE(SUBSTITUTE(SUBSTITUTE(Z1312,"~","~~"),"*","~*"),"?","~?"),$Z$5:$Z$5004,0)=1308,MAX($AA$4:AA1311)+1,""))</f>
        <v/>
      </c>
    </row>
    <row r="1313" spans="1:27">
      <c r="A1313" s="9"/>
      <c r="Z1313">
        <f>TRIM(A1313&amp;"")</f>
        <v/>
      </c>
      <c r="AA1313">
        <f>IF(Z1313="","",IF(MATCH(SUBSTITUTE(SUBSTITUTE(SUBSTITUTE(Z1313,"~","~~"),"*","~*"),"?","~?"),$Z$5:$Z$5004,0)=1309,MAX($AA$4:AA1312)+1,""))</f>
        <v/>
      </c>
    </row>
    <row r="1314" spans="1:27">
      <c r="A1314" s="9"/>
      <c r="Z1314">
        <f>TRIM(A1314&amp;"")</f>
        <v/>
      </c>
      <c r="AA1314">
        <f>IF(Z1314="","",IF(MATCH(SUBSTITUTE(SUBSTITUTE(SUBSTITUTE(Z1314,"~","~~"),"*","~*"),"?","~?"),$Z$5:$Z$5004,0)=1310,MAX($AA$4:AA1313)+1,""))</f>
        <v/>
      </c>
    </row>
    <row r="1315" spans="1:27">
      <c r="A1315" s="9"/>
      <c r="Z1315">
        <f>TRIM(A1315&amp;"")</f>
        <v/>
      </c>
      <c r="AA1315">
        <f>IF(Z1315="","",IF(MATCH(SUBSTITUTE(SUBSTITUTE(SUBSTITUTE(Z1315,"~","~~"),"*","~*"),"?","~?"),$Z$5:$Z$5004,0)=1311,MAX($AA$4:AA1314)+1,""))</f>
        <v/>
      </c>
    </row>
    <row r="1316" spans="1:27">
      <c r="A1316" s="9"/>
      <c r="Z1316">
        <f>TRIM(A1316&amp;"")</f>
        <v/>
      </c>
      <c r="AA1316">
        <f>IF(Z1316="","",IF(MATCH(SUBSTITUTE(SUBSTITUTE(SUBSTITUTE(Z1316,"~","~~"),"*","~*"),"?","~?"),$Z$5:$Z$5004,0)=1312,MAX($AA$4:AA1315)+1,""))</f>
        <v/>
      </c>
    </row>
    <row r="1317" spans="1:27">
      <c r="A1317" s="9"/>
      <c r="Z1317">
        <f>TRIM(A1317&amp;"")</f>
        <v/>
      </c>
      <c r="AA1317">
        <f>IF(Z1317="","",IF(MATCH(SUBSTITUTE(SUBSTITUTE(SUBSTITUTE(Z1317,"~","~~"),"*","~*"),"?","~?"),$Z$5:$Z$5004,0)=1313,MAX($AA$4:AA1316)+1,""))</f>
        <v/>
      </c>
    </row>
    <row r="1318" spans="1:27">
      <c r="A1318" s="9"/>
      <c r="Z1318">
        <f>TRIM(A1318&amp;"")</f>
        <v/>
      </c>
      <c r="AA1318">
        <f>IF(Z1318="","",IF(MATCH(SUBSTITUTE(SUBSTITUTE(SUBSTITUTE(Z1318,"~","~~"),"*","~*"),"?","~?"),$Z$5:$Z$5004,0)=1314,MAX($AA$4:AA1317)+1,""))</f>
        <v/>
      </c>
    </row>
    <row r="1319" spans="1:27">
      <c r="A1319" s="9"/>
      <c r="Z1319">
        <f>TRIM(A1319&amp;"")</f>
        <v/>
      </c>
      <c r="AA1319">
        <f>IF(Z1319="","",IF(MATCH(SUBSTITUTE(SUBSTITUTE(SUBSTITUTE(Z1319,"~","~~"),"*","~*"),"?","~?"),$Z$5:$Z$5004,0)=1315,MAX($AA$4:AA1318)+1,""))</f>
        <v/>
      </c>
    </row>
    <row r="1320" spans="1:27">
      <c r="A1320" s="9"/>
      <c r="Z1320">
        <f>TRIM(A1320&amp;"")</f>
        <v/>
      </c>
      <c r="AA1320">
        <f>IF(Z1320="","",IF(MATCH(SUBSTITUTE(SUBSTITUTE(SUBSTITUTE(Z1320,"~","~~"),"*","~*"),"?","~?"),$Z$5:$Z$5004,0)=1316,MAX($AA$4:AA1319)+1,""))</f>
        <v/>
      </c>
    </row>
    <row r="1321" spans="1:27">
      <c r="A1321" s="9"/>
      <c r="Z1321">
        <f>TRIM(A1321&amp;"")</f>
        <v/>
      </c>
      <c r="AA1321">
        <f>IF(Z1321="","",IF(MATCH(SUBSTITUTE(SUBSTITUTE(SUBSTITUTE(Z1321,"~","~~"),"*","~*"),"?","~?"),$Z$5:$Z$5004,0)=1317,MAX($AA$4:AA1320)+1,""))</f>
        <v/>
      </c>
    </row>
    <row r="1322" spans="1:27">
      <c r="A1322" s="9"/>
      <c r="Z1322">
        <f>TRIM(A1322&amp;"")</f>
        <v/>
      </c>
      <c r="AA1322">
        <f>IF(Z1322="","",IF(MATCH(SUBSTITUTE(SUBSTITUTE(SUBSTITUTE(Z1322,"~","~~"),"*","~*"),"?","~?"),$Z$5:$Z$5004,0)=1318,MAX($AA$4:AA1321)+1,""))</f>
        <v/>
      </c>
    </row>
    <row r="1323" spans="1:27">
      <c r="A1323" s="9"/>
      <c r="Z1323">
        <f>TRIM(A1323&amp;"")</f>
        <v/>
      </c>
      <c r="AA1323">
        <f>IF(Z1323="","",IF(MATCH(SUBSTITUTE(SUBSTITUTE(SUBSTITUTE(Z1323,"~","~~"),"*","~*"),"?","~?"),$Z$5:$Z$5004,0)=1319,MAX($AA$4:AA1322)+1,""))</f>
        <v/>
      </c>
    </row>
    <row r="1324" spans="1:27">
      <c r="A1324" s="9"/>
      <c r="Z1324">
        <f>TRIM(A1324&amp;"")</f>
        <v/>
      </c>
      <c r="AA1324">
        <f>IF(Z1324="","",IF(MATCH(SUBSTITUTE(SUBSTITUTE(SUBSTITUTE(Z1324,"~","~~"),"*","~*"),"?","~?"),$Z$5:$Z$5004,0)=1320,MAX($AA$4:AA1323)+1,""))</f>
        <v/>
      </c>
    </row>
    <row r="1325" spans="1:27">
      <c r="A1325" s="9"/>
      <c r="Z1325">
        <f>TRIM(A1325&amp;"")</f>
        <v/>
      </c>
      <c r="AA1325">
        <f>IF(Z1325="","",IF(MATCH(SUBSTITUTE(SUBSTITUTE(SUBSTITUTE(Z1325,"~","~~"),"*","~*"),"?","~?"),$Z$5:$Z$5004,0)=1321,MAX($AA$4:AA1324)+1,""))</f>
        <v/>
      </c>
    </row>
    <row r="1326" spans="1:27">
      <c r="A1326" s="9"/>
      <c r="Z1326">
        <f>TRIM(A1326&amp;"")</f>
        <v/>
      </c>
      <c r="AA1326">
        <f>IF(Z1326="","",IF(MATCH(SUBSTITUTE(SUBSTITUTE(SUBSTITUTE(Z1326,"~","~~"),"*","~*"),"?","~?"),$Z$5:$Z$5004,0)=1322,MAX($AA$4:AA1325)+1,""))</f>
        <v/>
      </c>
    </row>
    <row r="1327" spans="1:27">
      <c r="A1327" s="9"/>
      <c r="Z1327">
        <f>TRIM(A1327&amp;"")</f>
        <v/>
      </c>
      <c r="AA1327">
        <f>IF(Z1327="","",IF(MATCH(SUBSTITUTE(SUBSTITUTE(SUBSTITUTE(Z1327,"~","~~"),"*","~*"),"?","~?"),$Z$5:$Z$5004,0)=1323,MAX($AA$4:AA1326)+1,""))</f>
        <v/>
      </c>
    </row>
    <row r="1328" spans="1:27">
      <c r="A1328" s="9"/>
      <c r="Z1328">
        <f>TRIM(A1328&amp;"")</f>
        <v/>
      </c>
      <c r="AA1328">
        <f>IF(Z1328="","",IF(MATCH(SUBSTITUTE(SUBSTITUTE(SUBSTITUTE(Z1328,"~","~~"),"*","~*"),"?","~?"),$Z$5:$Z$5004,0)=1324,MAX($AA$4:AA1327)+1,""))</f>
        <v/>
      </c>
    </row>
    <row r="1329" spans="1:27">
      <c r="A1329" s="9"/>
      <c r="Z1329">
        <f>TRIM(A1329&amp;"")</f>
        <v/>
      </c>
      <c r="AA1329">
        <f>IF(Z1329="","",IF(MATCH(SUBSTITUTE(SUBSTITUTE(SUBSTITUTE(Z1329,"~","~~"),"*","~*"),"?","~?"),$Z$5:$Z$5004,0)=1325,MAX($AA$4:AA1328)+1,""))</f>
        <v/>
      </c>
    </row>
    <row r="1330" spans="1:27">
      <c r="A1330" s="9"/>
      <c r="Z1330">
        <f>TRIM(A1330&amp;"")</f>
        <v/>
      </c>
      <c r="AA1330">
        <f>IF(Z1330="","",IF(MATCH(SUBSTITUTE(SUBSTITUTE(SUBSTITUTE(Z1330,"~","~~"),"*","~*"),"?","~?"),$Z$5:$Z$5004,0)=1326,MAX($AA$4:AA1329)+1,""))</f>
        <v/>
      </c>
    </row>
    <row r="1331" spans="1:27">
      <c r="A1331" s="9"/>
      <c r="Z1331">
        <f>TRIM(A1331&amp;"")</f>
        <v/>
      </c>
      <c r="AA1331">
        <f>IF(Z1331="","",IF(MATCH(SUBSTITUTE(SUBSTITUTE(SUBSTITUTE(Z1331,"~","~~"),"*","~*"),"?","~?"),$Z$5:$Z$5004,0)=1327,MAX($AA$4:AA1330)+1,""))</f>
        <v/>
      </c>
    </row>
    <row r="1332" spans="1:27">
      <c r="A1332" s="9"/>
      <c r="Z1332">
        <f>TRIM(A1332&amp;"")</f>
        <v/>
      </c>
      <c r="AA1332">
        <f>IF(Z1332="","",IF(MATCH(SUBSTITUTE(SUBSTITUTE(SUBSTITUTE(Z1332,"~","~~"),"*","~*"),"?","~?"),$Z$5:$Z$5004,0)=1328,MAX($AA$4:AA1331)+1,""))</f>
        <v/>
      </c>
    </row>
    <row r="1333" spans="1:27">
      <c r="A1333" s="9"/>
      <c r="Z1333">
        <f>TRIM(A1333&amp;"")</f>
        <v/>
      </c>
      <c r="AA1333">
        <f>IF(Z1333="","",IF(MATCH(SUBSTITUTE(SUBSTITUTE(SUBSTITUTE(Z1333,"~","~~"),"*","~*"),"?","~?"),$Z$5:$Z$5004,0)=1329,MAX($AA$4:AA1332)+1,""))</f>
        <v/>
      </c>
    </row>
    <row r="1334" spans="1:27">
      <c r="A1334" s="9"/>
      <c r="Z1334">
        <f>TRIM(A1334&amp;"")</f>
        <v/>
      </c>
      <c r="AA1334">
        <f>IF(Z1334="","",IF(MATCH(SUBSTITUTE(SUBSTITUTE(SUBSTITUTE(Z1334,"~","~~"),"*","~*"),"?","~?"),$Z$5:$Z$5004,0)=1330,MAX($AA$4:AA1333)+1,""))</f>
        <v/>
      </c>
    </row>
    <row r="1335" spans="1:27">
      <c r="A1335" s="9"/>
      <c r="Z1335">
        <f>TRIM(A1335&amp;"")</f>
        <v/>
      </c>
      <c r="AA1335">
        <f>IF(Z1335="","",IF(MATCH(SUBSTITUTE(SUBSTITUTE(SUBSTITUTE(Z1335,"~","~~"),"*","~*"),"?","~?"),$Z$5:$Z$5004,0)=1331,MAX($AA$4:AA1334)+1,""))</f>
        <v/>
      </c>
    </row>
    <row r="1336" spans="1:27">
      <c r="A1336" s="9"/>
      <c r="Z1336">
        <f>TRIM(A1336&amp;"")</f>
        <v/>
      </c>
      <c r="AA1336">
        <f>IF(Z1336="","",IF(MATCH(SUBSTITUTE(SUBSTITUTE(SUBSTITUTE(Z1336,"~","~~"),"*","~*"),"?","~?"),$Z$5:$Z$5004,0)=1332,MAX($AA$4:AA1335)+1,""))</f>
        <v/>
      </c>
    </row>
    <row r="1337" spans="1:27">
      <c r="A1337" s="9"/>
      <c r="Z1337">
        <f>TRIM(A1337&amp;"")</f>
        <v/>
      </c>
      <c r="AA1337">
        <f>IF(Z1337="","",IF(MATCH(SUBSTITUTE(SUBSTITUTE(SUBSTITUTE(Z1337,"~","~~"),"*","~*"),"?","~?"),$Z$5:$Z$5004,0)=1333,MAX($AA$4:AA1336)+1,""))</f>
        <v/>
      </c>
    </row>
    <row r="1338" spans="1:27">
      <c r="A1338" s="9"/>
      <c r="Z1338">
        <f>TRIM(A1338&amp;"")</f>
        <v/>
      </c>
      <c r="AA1338">
        <f>IF(Z1338="","",IF(MATCH(SUBSTITUTE(SUBSTITUTE(SUBSTITUTE(Z1338,"~","~~"),"*","~*"),"?","~?"),$Z$5:$Z$5004,0)=1334,MAX($AA$4:AA1337)+1,""))</f>
        <v/>
      </c>
    </row>
    <row r="1339" spans="1:27">
      <c r="A1339" s="9"/>
      <c r="Z1339">
        <f>TRIM(A1339&amp;"")</f>
        <v/>
      </c>
      <c r="AA1339">
        <f>IF(Z1339="","",IF(MATCH(SUBSTITUTE(SUBSTITUTE(SUBSTITUTE(Z1339,"~","~~"),"*","~*"),"?","~?"),$Z$5:$Z$5004,0)=1335,MAX($AA$4:AA1338)+1,""))</f>
        <v/>
      </c>
    </row>
    <row r="1340" spans="1:27">
      <c r="A1340" s="9"/>
      <c r="Z1340">
        <f>TRIM(A1340&amp;"")</f>
        <v/>
      </c>
      <c r="AA1340">
        <f>IF(Z1340="","",IF(MATCH(SUBSTITUTE(SUBSTITUTE(SUBSTITUTE(Z1340,"~","~~"),"*","~*"),"?","~?"),$Z$5:$Z$5004,0)=1336,MAX($AA$4:AA1339)+1,""))</f>
        <v/>
      </c>
    </row>
    <row r="1341" spans="1:27">
      <c r="A1341" s="9"/>
      <c r="Z1341">
        <f>TRIM(A1341&amp;"")</f>
        <v/>
      </c>
      <c r="AA1341">
        <f>IF(Z1341="","",IF(MATCH(SUBSTITUTE(SUBSTITUTE(SUBSTITUTE(Z1341,"~","~~"),"*","~*"),"?","~?"),$Z$5:$Z$5004,0)=1337,MAX($AA$4:AA1340)+1,""))</f>
        <v/>
      </c>
    </row>
    <row r="1342" spans="1:27">
      <c r="A1342" s="9"/>
      <c r="Z1342">
        <f>TRIM(A1342&amp;"")</f>
        <v/>
      </c>
      <c r="AA1342">
        <f>IF(Z1342="","",IF(MATCH(SUBSTITUTE(SUBSTITUTE(SUBSTITUTE(Z1342,"~","~~"),"*","~*"),"?","~?"),$Z$5:$Z$5004,0)=1338,MAX($AA$4:AA1341)+1,""))</f>
        <v/>
      </c>
    </row>
    <row r="1343" spans="1:27">
      <c r="A1343" s="9"/>
      <c r="Z1343">
        <f>TRIM(A1343&amp;"")</f>
        <v/>
      </c>
      <c r="AA1343">
        <f>IF(Z1343="","",IF(MATCH(SUBSTITUTE(SUBSTITUTE(SUBSTITUTE(Z1343,"~","~~"),"*","~*"),"?","~?"),$Z$5:$Z$5004,0)=1339,MAX($AA$4:AA1342)+1,""))</f>
        <v/>
      </c>
    </row>
    <row r="1344" spans="1:27">
      <c r="A1344" s="9"/>
      <c r="Z1344">
        <f>TRIM(A1344&amp;"")</f>
        <v/>
      </c>
      <c r="AA1344">
        <f>IF(Z1344="","",IF(MATCH(SUBSTITUTE(SUBSTITUTE(SUBSTITUTE(Z1344,"~","~~"),"*","~*"),"?","~?"),$Z$5:$Z$5004,0)=1340,MAX($AA$4:AA1343)+1,""))</f>
        <v/>
      </c>
    </row>
    <row r="1345" spans="1:27">
      <c r="A1345" s="9"/>
      <c r="Z1345">
        <f>TRIM(A1345&amp;"")</f>
        <v/>
      </c>
      <c r="AA1345">
        <f>IF(Z1345="","",IF(MATCH(SUBSTITUTE(SUBSTITUTE(SUBSTITUTE(Z1345,"~","~~"),"*","~*"),"?","~?"),$Z$5:$Z$5004,0)=1341,MAX($AA$4:AA1344)+1,""))</f>
        <v/>
      </c>
    </row>
    <row r="1346" spans="1:27">
      <c r="A1346" s="9"/>
      <c r="Z1346">
        <f>TRIM(A1346&amp;"")</f>
        <v/>
      </c>
      <c r="AA1346">
        <f>IF(Z1346="","",IF(MATCH(SUBSTITUTE(SUBSTITUTE(SUBSTITUTE(Z1346,"~","~~"),"*","~*"),"?","~?"),$Z$5:$Z$5004,0)=1342,MAX($AA$4:AA1345)+1,""))</f>
        <v/>
      </c>
    </row>
    <row r="1347" spans="1:27">
      <c r="A1347" s="9"/>
      <c r="Z1347">
        <f>TRIM(A1347&amp;"")</f>
        <v/>
      </c>
      <c r="AA1347">
        <f>IF(Z1347="","",IF(MATCH(SUBSTITUTE(SUBSTITUTE(SUBSTITUTE(Z1347,"~","~~"),"*","~*"),"?","~?"),$Z$5:$Z$5004,0)=1343,MAX($AA$4:AA1346)+1,""))</f>
        <v/>
      </c>
    </row>
    <row r="1348" spans="1:27">
      <c r="A1348" s="9"/>
      <c r="Z1348">
        <f>TRIM(A1348&amp;"")</f>
        <v/>
      </c>
      <c r="AA1348">
        <f>IF(Z1348="","",IF(MATCH(SUBSTITUTE(SUBSTITUTE(SUBSTITUTE(Z1348,"~","~~"),"*","~*"),"?","~?"),$Z$5:$Z$5004,0)=1344,MAX($AA$4:AA1347)+1,""))</f>
        <v/>
      </c>
    </row>
    <row r="1349" spans="1:27">
      <c r="A1349" s="9"/>
      <c r="Z1349">
        <f>TRIM(A1349&amp;"")</f>
        <v/>
      </c>
      <c r="AA1349">
        <f>IF(Z1349="","",IF(MATCH(SUBSTITUTE(SUBSTITUTE(SUBSTITUTE(Z1349,"~","~~"),"*","~*"),"?","~?"),$Z$5:$Z$5004,0)=1345,MAX($AA$4:AA1348)+1,""))</f>
        <v/>
      </c>
    </row>
    <row r="1350" spans="1:27">
      <c r="A1350" s="9"/>
      <c r="Z1350">
        <f>TRIM(A1350&amp;"")</f>
        <v/>
      </c>
      <c r="AA1350">
        <f>IF(Z1350="","",IF(MATCH(SUBSTITUTE(SUBSTITUTE(SUBSTITUTE(Z1350,"~","~~"),"*","~*"),"?","~?"),$Z$5:$Z$5004,0)=1346,MAX($AA$4:AA1349)+1,""))</f>
        <v/>
      </c>
    </row>
    <row r="1351" spans="1:27">
      <c r="A1351" s="9"/>
      <c r="Z1351">
        <f>TRIM(A1351&amp;"")</f>
        <v/>
      </c>
      <c r="AA1351">
        <f>IF(Z1351="","",IF(MATCH(SUBSTITUTE(SUBSTITUTE(SUBSTITUTE(Z1351,"~","~~"),"*","~*"),"?","~?"),$Z$5:$Z$5004,0)=1347,MAX($AA$4:AA1350)+1,""))</f>
        <v/>
      </c>
    </row>
    <row r="1352" spans="1:27">
      <c r="A1352" s="9"/>
      <c r="Z1352">
        <f>TRIM(A1352&amp;"")</f>
        <v/>
      </c>
      <c r="AA1352">
        <f>IF(Z1352="","",IF(MATCH(SUBSTITUTE(SUBSTITUTE(SUBSTITUTE(Z1352,"~","~~"),"*","~*"),"?","~?"),$Z$5:$Z$5004,0)=1348,MAX($AA$4:AA1351)+1,""))</f>
        <v/>
      </c>
    </row>
    <row r="1353" spans="1:27">
      <c r="A1353" s="9"/>
      <c r="Z1353">
        <f>TRIM(A1353&amp;"")</f>
        <v/>
      </c>
      <c r="AA1353">
        <f>IF(Z1353="","",IF(MATCH(SUBSTITUTE(SUBSTITUTE(SUBSTITUTE(Z1353,"~","~~"),"*","~*"),"?","~?"),$Z$5:$Z$5004,0)=1349,MAX($AA$4:AA1352)+1,""))</f>
        <v/>
      </c>
    </row>
    <row r="1354" spans="1:27">
      <c r="A1354" s="9"/>
      <c r="Z1354">
        <f>TRIM(A1354&amp;"")</f>
        <v/>
      </c>
      <c r="AA1354">
        <f>IF(Z1354="","",IF(MATCH(SUBSTITUTE(SUBSTITUTE(SUBSTITUTE(Z1354,"~","~~"),"*","~*"),"?","~?"),$Z$5:$Z$5004,0)=1350,MAX($AA$4:AA1353)+1,""))</f>
        <v/>
      </c>
    </row>
    <row r="1355" spans="1:27">
      <c r="A1355" s="9"/>
      <c r="Z1355">
        <f>TRIM(A1355&amp;"")</f>
        <v/>
      </c>
      <c r="AA1355">
        <f>IF(Z1355="","",IF(MATCH(SUBSTITUTE(SUBSTITUTE(SUBSTITUTE(Z1355,"~","~~"),"*","~*"),"?","~?"),$Z$5:$Z$5004,0)=1351,MAX($AA$4:AA1354)+1,""))</f>
        <v/>
      </c>
    </row>
    <row r="1356" spans="1:27">
      <c r="A1356" s="9"/>
      <c r="Z1356">
        <f>TRIM(A1356&amp;"")</f>
        <v/>
      </c>
      <c r="AA1356">
        <f>IF(Z1356="","",IF(MATCH(SUBSTITUTE(SUBSTITUTE(SUBSTITUTE(Z1356,"~","~~"),"*","~*"),"?","~?"),$Z$5:$Z$5004,0)=1352,MAX($AA$4:AA1355)+1,""))</f>
        <v/>
      </c>
    </row>
    <row r="1357" spans="1:27">
      <c r="A1357" s="9"/>
      <c r="Z1357">
        <f>TRIM(A1357&amp;"")</f>
        <v/>
      </c>
      <c r="AA1357">
        <f>IF(Z1357="","",IF(MATCH(SUBSTITUTE(SUBSTITUTE(SUBSTITUTE(Z1357,"~","~~"),"*","~*"),"?","~?"),$Z$5:$Z$5004,0)=1353,MAX($AA$4:AA1356)+1,""))</f>
        <v/>
      </c>
    </row>
    <row r="1358" spans="1:27">
      <c r="A1358" s="9"/>
      <c r="Z1358">
        <f>TRIM(A1358&amp;"")</f>
        <v/>
      </c>
      <c r="AA1358">
        <f>IF(Z1358="","",IF(MATCH(SUBSTITUTE(SUBSTITUTE(SUBSTITUTE(Z1358,"~","~~"),"*","~*"),"?","~?"),$Z$5:$Z$5004,0)=1354,MAX($AA$4:AA1357)+1,""))</f>
        <v/>
      </c>
    </row>
    <row r="1359" spans="1:27">
      <c r="A1359" s="9"/>
      <c r="Z1359">
        <f>TRIM(A1359&amp;"")</f>
        <v/>
      </c>
      <c r="AA1359">
        <f>IF(Z1359="","",IF(MATCH(SUBSTITUTE(SUBSTITUTE(SUBSTITUTE(Z1359,"~","~~"),"*","~*"),"?","~?"),$Z$5:$Z$5004,0)=1355,MAX($AA$4:AA1358)+1,""))</f>
        <v/>
      </c>
    </row>
    <row r="1360" spans="1:27">
      <c r="A1360" s="9"/>
      <c r="Z1360">
        <f>TRIM(A1360&amp;"")</f>
        <v/>
      </c>
      <c r="AA1360">
        <f>IF(Z1360="","",IF(MATCH(SUBSTITUTE(SUBSTITUTE(SUBSTITUTE(Z1360,"~","~~"),"*","~*"),"?","~?"),$Z$5:$Z$5004,0)=1356,MAX($AA$4:AA1359)+1,""))</f>
        <v/>
      </c>
    </row>
    <row r="1361" spans="1:27">
      <c r="A1361" s="9"/>
      <c r="Z1361">
        <f>TRIM(A1361&amp;"")</f>
        <v/>
      </c>
      <c r="AA1361">
        <f>IF(Z1361="","",IF(MATCH(SUBSTITUTE(SUBSTITUTE(SUBSTITUTE(Z1361,"~","~~"),"*","~*"),"?","~?"),$Z$5:$Z$5004,0)=1357,MAX($AA$4:AA1360)+1,""))</f>
        <v/>
      </c>
    </row>
    <row r="1362" spans="1:27">
      <c r="A1362" s="9"/>
      <c r="Z1362">
        <f>TRIM(A1362&amp;"")</f>
        <v/>
      </c>
      <c r="AA1362">
        <f>IF(Z1362="","",IF(MATCH(SUBSTITUTE(SUBSTITUTE(SUBSTITUTE(Z1362,"~","~~"),"*","~*"),"?","~?"),$Z$5:$Z$5004,0)=1358,MAX($AA$4:AA1361)+1,""))</f>
        <v/>
      </c>
    </row>
    <row r="1363" spans="1:27">
      <c r="A1363" s="9"/>
      <c r="Z1363">
        <f>TRIM(A1363&amp;"")</f>
        <v/>
      </c>
      <c r="AA1363">
        <f>IF(Z1363="","",IF(MATCH(SUBSTITUTE(SUBSTITUTE(SUBSTITUTE(Z1363,"~","~~"),"*","~*"),"?","~?"),$Z$5:$Z$5004,0)=1359,MAX($AA$4:AA1362)+1,""))</f>
        <v/>
      </c>
    </row>
    <row r="1364" spans="1:27">
      <c r="A1364" s="9"/>
      <c r="Z1364">
        <f>TRIM(A1364&amp;"")</f>
        <v/>
      </c>
      <c r="AA1364">
        <f>IF(Z1364="","",IF(MATCH(SUBSTITUTE(SUBSTITUTE(SUBSTITUTE(Z1364,"~","~~"),"*","~*"),"?","~?"),$Z$5:$Z$5004,0)=1360,MAX($AA$4:AA1363)+1,""))</f>
        <v/>
      </c>
    </row>
    <row r="1365" spans="1:27">
      <c r="A1365" s="9"/>
      <c r="Z1365">
        <f>TRIM(A1365&amp;"")</f>
        <v/>
      </c>
      <c r="AA1365">
        <f>IF(Z1365="","",IF(MATCH(SUBSTITUTE(SUBSTITUTE(SUBSTITUTE(Z1365,"~","~~"),"*","~*"),"?","~?"),$Z$5:$Z$5004,0)=1361,MAX($AA$4:AA1364)+1,""))</f>
        <v/>
      </c>
    </row>
    <row r="1366" spans="1:27">
      <c r="A1366" s="9"/>
      <c r="Z1366">
        <f>TRIM(A1366&amp;"")</f>
        <v/>
      </c>
      <c r="AA1366">
        <f>IF(Z1366="","",IF(MATCH(SUBSTITUTE(SUBSTITUTE(SUBSTITUTE(Z1366,"~","~~"),"*","~*"),"?","~?"),$Z$5:$Z$5004,0)=1362,MAX($AA$4:AA1365)+1,""))</f>
        <v/>
      </c>
    </row>
    <row r="1367" spans="1:27">
      <c r="A1367" s="9"/>
      <c r="Z1367">
        <f>TRIM(A1367&amp;"")</f>
        <v/>
      </c>
      <c r="AA1367">
        <f>IF(Z1367="","",IF(MATCH(SUBSTITUTE(SUBSTITUTE(SUBSTITUTE(Z1367,"~","~~"),"*","~*"),"?","~?"),$Z$5:$Z$5004,0)=1363,MAX($AA$4:AA1366)+1,""))</f>
        <v/>
      </c>
    </row>
    <row r="1368" spans="1:27">
      <c r="A1368" s="9"/>
      <c r="Z1368">
        <f>TRIM(A1368&amp;"")</f>
        <v/>
      </c>
      <c r="AA1368">
        <f>IF(Z1368="","",IF(MATCH(SUBSTITUTE(SUBSTITUTE(SUBSTITUTE(Z1368,"~","~~"),"*","~*"),"?","~?"),$Z$5:$Z$5004,0)=1364,MAX($AA$4:AA1367)+1,""))</f>
        <v/>
      </c>
    </row>
    <row r="1369" spans="1:27">
      <c r="A1369" s="9"/>
      <c r="Z1369">
        <f>TRIM(A1369&amp;"")</f>
        <v/>
      </c>
      <c r="AA1369">
        <f>IF(Z1369="","",IF(MATCH(SUBSTITUTE(SUBSTITUTE(SUBSTITUTE(Z1369,"~","~~"),"*","~*"),"?","~?"),$Z$5:$Z$5004,0)=1365,MAX($AA$4:AA1368)+1,""))</f>
        <v/>
      </c>
    </row>
    <row r="1370" spans="1:27">
      <c r="A1370" s="9"/>
      <c r="Z1370">
        <f>TRIM(A1370&amp;"")</f>
        <v/>
      </c>
      <c r="AA1370">
        <f>IF(Z1370="","",IF(MATCH(SUBSTITUTE(SUBSTITUTE(SUBSTITUTE(Z1370,"~","~~"),"*","~*"),"?","~?"),$Z$5:$Z$5004,0)=1366,MAX($AA$4:AA1369)+1,""))</f>
        <v/>
      </c>
    </row>
    <row r="1371" spans="1:27">
      <c r="A1371" s="9"/>
      <c r="Z1371">
        <f>TRIM(A1371&amp;"")</f>
        <v/>
      </c>
      <c r="AA1371">
        <f>IF(Z1371="","",IF(MATCH(SUBSTITUTE(SUBSTITUTE(SUBSTITUTE(Z1371,"~","~~"),"*","~*"),"?","~?"),$Z$5:$Z$5004,0)=1367,MAX($AA$4:AA1370)+1,""))</f>
        <v/>
      </c>
    </row>
    <row r="1372" spans="1:27">
      <c r="A1372" s="9"/>
      <c r="Z1372">
        <f>TRIM(A1372&amp;"")</f>
        <v/>
      </c>
      <c r="AA1372">
        <f>IF(Z1372="","",IF(MATCH(SUBSTITUTE(SUBSTITUTE(SUBSTITUTE(Z1372,"~","~~"),"*","~*"),"?","~?"),$Z$5:$Z$5004,0)=1368,MAX($AA$4:AA1371)+1,""))</f>
        <v/>
      </c>
    </row>
    <row r="1373" spans="1:27">
      <c r="A1373" s="9"/>
      <c r="Z1373">
        <f>TRIM(A1373&amp;"")</f>
        <v/>
      </c>
      <c r="AA1373">
        <f>IF(Z1373="","",IF(MATCH(SUBSTITUTE(SUBSTITUTE(SUBSTITUTE(Z1373,"~","~~"),"*","~*"),"?","~?"),$Z$5:$Z$5004,0)=1369,MAX($AA$4:AA1372)+1,""))</f>
        <v/>
      </c>
    </row>
    <row r="1374" spans="1:27">
      <c r="A1374" s="9"/>
      <c r="Z1374">
        <f>TRIM(A1374&amp;"")</f>
        <v/>
      </c>
      <c r="AA1374">
        <f>IF(Z1374="","",IF(MATCH(SUBSTITUTE(SUBSTITUTE(SUBSTITUTE(Z1374,"~","~~"),"*","~*"),"?","~?"),$Z$5:$Z$5004,0)=1370,MAX($AA$4:AA1373)+1,""))</f>
        <v/>
      </c>
    </row>
    <row r="1375" spans="1:27">
      <c r="A1375" s="9"/>
      <c r="Z1375">
        <f>TRIM(A1375&amp;"")</f>
        <v/>
      </c>
      <c r="AA1375">
        <f>IF(Z1375="","",IF(MATCH(SUBSTITUTE(SUBSTITUTE(SUBSTITUTE(Z1375,"~","~~"),"*","~*"),"?","~?"),$Z$5:$Z$5004,0)=1371,MAX($AA$4:AA1374)+1,""))</f>
        <v/>
      </c>
    </row>
    <row r="1376" spans="1:27">
      <c r="A1376" s="9"/>
      <c r="Z1376">
        <f>TRIM(A1376&amp;"")</f>
        <v/>
      </c>
      <c r="AA1376">
        <f>IF(Z1376="","",IF(MATCH(SUBSTITUTE(SUBSTITUTE(SUBSTITUTE(Z1376,"~","~~"),"*","~*"),"?","~?"),$Z$5:$Z$5004,0)=1372,MAX($AA$4:AA1375)+1,""))</f>
        <v/>
      </c>
    </row>
    <row r="1377" spans="1:27">
      <c r="A1377" s="9"/>
      <c r="Z1377">
        <f>TRIM(A1377&amp;"")</f>
        <v/>
      </c>
      <c r="AA1377">
        <f>IF(Z1377="","",IF(MATCH(SUBSTITUTE(SUBSTITUTE(SUBSTITUTE(Z1377,"~","~~"),"*","~*"),"?","~?"),$Z$5:$Z$5004,0)=1373,MAX($AA$4:AA1376)+1,""))</f>
        <v/>
      </c>
    </row>
    <row r="1378" spans="1:27">
      <c r="A1378" s="9"/>
      <c r="Z1378">
        <f>TRIM(A1378&amp;"")</f>
        <v/>
      </c>
      <c r="AA1378">
        <f>IF(Z1378="","",IF(MATCH(SUBSTITUTE(SUBSTITUTE(SUBSTITUTE(Z1378,"~","~~"),"*","~*"),"?","~?"),$Z$5:$Z$5004,0)=1374,MAX($AA$4:AA1377)+1,""))</f>
        <v/>
      </c>
    </row>
    <row r="1379" spans="1:27">
      <c r="A1379" s="9"/>
      <c r="Z1379">
        <f>TRIM(A1379&amp;"")</f>
        <v/>
      </c>
      <c r="AA1379">
        <f>IF(Z1379="","",IF(MATCH(SUBSTITUTE(SUBSTITUTE(SUBSTITUTE(Z1379,"~","~~"),"*","~*"),"?","~?"),$Z$5:$Z$5004,0)=1375,MAX($AA$4:AA1378)+1,""))</f>
        <v/>
      </c>
    </row>
    <row r="1380" spans="1:27">
      <c r="A1380" s="9"/>
      <c r="Z1380">
        <f>TRIM(A1380&amp;"")</f>
        <v/>
      </c>
      <c r="AA1380">
        <f>IF(Z1380="","",IF(MATCH(SUBSTITUTE(SUBSTITUTE(SUBSTITUTE(Z1380,"~","~~"),"*","~*"),"?","~?"),$Z$5:$Z$5004,0)=1376,MAX($AA$4:AA1379)+1,""))</f>
        <v/>
      </c>
    </row>
    <row r="1381" spans="1:27">
      <c r="A1381" s="9"/>
      <c r="Z1381">
        <f>TRIM(A1381&amp;"")</f>
        <v/>
      </c>
      <c r="AA1381">
        <f>IF(Z1381="","",IF(MATCH(SUBSTITUTE(SUBSTITUTE(SUBSTITUTE(Z1381,"~","~~"),"*","~*"),"?","~?"),$Z$5:$Z$5004,0)=1377,MAX($AA$4:AA1380)+1,""))</f>
        <v/>
      </c>
    </row>
    <row r="1382" spans="1:27">
      <c r="A1382" s="9"/>
      <c r="Z1382">
        <f>TRIM(A1382&amp;"")</f>
        <v/>
      </c>
      <c r="AA1382">
        <f>IF(Z1382="","",IF(MATCH(SUBSTITUTE(SUBSTITUTE(SUBSTITUTE(Z1382,"~","~~"),"*","~*"),"?","~?"),$Z$5:$Z$5004,0)=1378,MAX($AA$4:AA1381)+1,""))</f>
        <v/>
      </c>
    </row>
    <row r="1383" spans="1:27">
      <c r="A1383" s="9"/>
      <c r="Z1383">
        <f>TRIM(A1383&amp;"")</f>
        <v/>
      </c>
      <c r="AA1383">
        <f>IF(Z1383="","",IF(MATCH(SUBSTITUTE(SUBSTITUTE(SUBSTITUTE(Z1383,"~","~~"),"*","~*"),"?","~?"),$Z$5:$Z$5004,0)=1379,MAX($AA$4:AA1382)+1,""))</f>
        <v/>
      </c>
    </row>
    <row r="1384" spans="1:27">
      <c r="A1384" s="9"/>
      <c r="Z1384">
        <f>TRIM(A1384&amp;"")</f>
        <v/>
      </c>
      <c r="AA1384">
        <f>IF(Z1384="","",IF(MATCH(SUBSTITUTE(SUBSTITUTE(SUBSTITUTE(Z1384,"~","~~"),"*","~*"),"?","~?"),$Z$5:$Z$5004,0)=1380,MAX($AA$4:AA1383)+1,""))</f>
        <v/>
      </c>
    </row>
    <row r="1385" spans="1:27">
      <c r="A1385" s="9"/>
      <c r="Z1385">
        <f>TRIM(A1385&amp;"")</f>
        <v/>
      </c>
      <c r="AA1385">
        <f>IF(Z1385="","",IF(MATCH(SUBSTITUTE(SUBSTITUTE(SUBSTITUTE(Z1385,"~","~~"),"*","~*"),"?","~?"),$Z$5:$Z$5004,0)=1381,MAX($AA$4:AA1384)+1,""))</f>
        <v/>
      </c>
    </row>
    <row r="1386" spans="1:27">
      <c r="A1386" s="9"/>
      <c r="Z1386">
        <f>TRIM(A1386&amp;"")</f>
        <v/>
      </c>
      <c r="AA1386">
        <f>IF(Z1386="","",IF(MATCH(SUBSTITUTE(SUBSTITUTE(SUBSTITUTE(Z1386,"~","~~"),"*","~*"),"?","~?"),$Z$5:$Z$5004,0)=1382,MAX($AA$4:AA1385)+1,""))</f>
        <v/>
      </c>
    </row>
    <row r="1387" spans="1:27">
      <c r="A1387" s="9"/>
      <c r="Z1387">
        <f>TRIM(A1387&amp;"")</f>
        <v/>
      </c>
      <c r="AA1387">
        <f>IF(Z1387="","",IF(MATCH(SUBSTITUTE(SUBSTITUTE(SUBSTITUTE(Z1387,"~","~~"),"*","~*"),"?","~?"),$Z$5:$Z$5004,0)=1383,MAX($AA$4:AA1386)+1,""))</f>
        <v/>
      </c>
    </row>
    <row r="1388" spans="1:27">
      <c r="A1388" s="9"/>
      <c r="Z1388">
        <f>TRIM(A1388&amp;"")</f>
        <v/>
      </c>
      <c r="AA1388">
        <f>IF(Z1388="","",IF(MATCH(SUBSTITUTE(SUBSTITUTE(SUBSTITUTE(Z1388,"~","~~"),"*","~*"),"?","~?"),$Z$5:$Z$5004,0)=1384,MAX($AA$4:AA1387)+1,""))</f>
        <v/>
      </c>
    </row>
    <row r="1389" spans="1:27">
      <c r="A1389" s="9"/>
      <c r="Z1389">
        <f>TRIM(A1389&amp;"")</f>
        <v/>
      </c>
      <c r="AA1389">
        <f>IF(Z1389="","",IF(MATCH(SUBSTITUTE(SUBSTITUTE(SUBSTITUTE(Z1389,"~","~~"),"*","~*"),"?","~?"),$Z$5:$Z$5004,0)=1385,MAX($AA$4:AA1388)+1,""))</f>
        <v/>
      </c>
    </row>
    <row r="1390" spans="1:27">
      <c r="A1390" s="9"/>
      <c r="Z1390">
        <f>TRIM(A1390&amp;"")</f>
        <v/>
      </c>
      <c r="AA1390">
        <f>IF(Z1390="","",IF(MATCH(SUBSTITUTE(SUBSTITUTE(SUBSTITUTE(Z1390,"~","~~"),"*","~*"),"?","~?"),$Z$5:$Z$5004,0)=1386,MAX($AA$4:AA1389)+1,""))</f>
        <v/>
      </c>
    </row>
    <row r="1391" spans="1:27">
      <c r="A1391" s="9"/>
      <c r="Z1391">
        <f>TRIM(A1391&amp;"")</f>
        <v/>
      </c>
      <c r="AA1391">
        <f>IF(Z1391="","",IF(MATCH(SUBSTITUTE(SUBSTITUTE(SUBSTITUTE(Z1391,"~","~~"),"*","~*"),"?","~?"),$Z$5:$Z$5004,0)=1387,MAX($AA$4:AA1390)+1,""))</f>
        <v/>
      </c>
    </row>
    <row r="1392" spans="1:27">
      <c r="A1392" s="9"/>
      <c r="Z1392">
        <f>TRIM(A1392&amp;"")</f>
        <v/>
      </c>
      <c r="AA1392">
        <f>IF(Z1392="","",IF(MATCH(SUBSTITUTE(SUBSTITUTE(SUBSTITUTE(Z1392,"~","~~"),"*","~*"),"?","~?"),$Z$5:$Z$5004,0)=1388,MAX($AA$4:AA1391)+1,""))</f>
        <v/>
      </c>
    </row>
    <row r="1393" spans="1:27">
      <c r="A1393" s="9"/>
      <c r="Z1393">
        <f>TRIM(A1393&amp;"")</f>
        <v/>
      </c>
      <c r="AA1393">
        <f>IF(Z1393="","",IF(MATCH(SUBSTITUTE(SUBSTITUTE(SUBSTITUTE(Z1393,"~","~~"),"*","~*"),"?","~?"),$Z$5:$Z$5004,0)=1389,MAX($AA$4:AA1392)+1,""))</f>
        <v/>
      </c>
    </row>
    <row r="1394" spans="1:27">
      <c r="A1394" s="9"/>
      <c r="Z1394">
        <f>TRIM(A1394&amp;"")</f>
        <v/>
      </c>
      <c r="AA1394">
        <f>IF(Z1394="","",IF(MATCH(SUBSTITUTE(SUBSTITUTE(SUBSTITUTE(Z1394,"~","~~"),"*","~*"),"?","~?"),$Z$5:$Z$5004,0)=1390,MAX($AA$4:AA1393)+1,""))</f>
        <v/>
      </c>
    </row>
    <row r="1395" spans="1:27">
      <c r="A1395" s="9"/>
      <c r="Z1395">
        <f>TRIM(A1395&amp;"")</f>
        <v/>
      </c>
      <c r="AA1395">
        <f>IF(Z1395="","",IF(MATCH(SUBSTITUTE(SUBSTITUTE(SUBSTITUTE(Z1395,"~","~~"),"*","~*"),"?","~?"),$Z$5:$Z$5004,0)=1391,MAX($AA$4:AA1394)+1,""))</f>
        <v/>
      </c>
    </row>
    <row r="1396" spans="1:27">
      <c r="A1396" s="9"/>
      <c r="Z1396">
        <f>TRIM(A1396&amp;"")</f>
        <v/>
      </c>
      <c r="AA1396">
        <f>IF(Z1396="","",IF(MATCH(SUBSTITUTE(SUBSTITUTE(SUBSTITUTE(Z1396,"~","~~"),"*","~*"),"?","~?"),$Z$5:$Z$5004,0)=1392,MAX($AA$4:AA1395)+1,""))</f>
        <v/>
      </c>
    </row>
    <row r="1397" spans="1:27">
      <c r="A1397" s="9"/>
      <c r="Z1397">
        <f>TRIM(A1397&amp;"")</f>
        <v/>
      </c>
      <c r="AA1397">
        <f>IF(Z1397="","",IF(MATCH(SUBSTITUTE(SUBSTITUTE(SUBSTITUTE(Z1397,"~","~~"),"*","~*"),"?","~?"),$Z$5:$Z$5004,0)=1393,MAX($AA$4:AA1396)+1,""))</f>
        <v/>
      </c>
    </row>
    <row r="1398" spans="1:27">
      <c r="A1398" s="9"/>
      <c r="Z1398">
        <f>TRIM(A1398&amp;"")</f>
        <v/>
      </c>
      <c r="AA1398">
        <f>IF(Z1398="","",IF(MATCH(SUBSTITUTE(SUBSTITUTE(SUBSTITUTE(Z1398,"~","~~"),"*","~*"),"?","~?"),$Z$5:$Z$5004,0)=1394,MAX($AA$4:AA1397)+1,""))</f>
        <v/>
      </c>
    </row>
    <row r="1399" spans="1:27">
      <c r="A1399" s="9"/>
      <c r="Z1399">
        <f>TRIM(A1399&amp;"")</f>
        <v/>
      </c>
      <c r="AA1399">
        <f>IF(Z1399="","",IF(MATCH(SUBSTITUTE(SUBSTITUTE(SUBSTITUTE(Z1399,"~","~~"),"*","~*"),"?","~?"),$Z$5:$Z$5004,0)=1395,MAX($AA$4:AA1398)+1,""))</f>
        <v/>
      </c>
    </row>
    <row r="1400" spans="1:27">
      <c r="A1400" s="9"/>
      <c r="Z1400">
        <f>TRIM(A1400&amp;"")</f>
        <v/>
      </c>
      <c r="AA1400">
        <f>IF(Z1400="","",IF(MATCH(SUBSTITUTE(SUBSTITUTE(SUBSTITUTE(Z1400,"~","~~"),"*","~*"),"?","~?"),$Z$5:$Z$5004,0)=1396,MAX($AA$4:AA1399)+1,""))</f>
        <v/>
      </c>
    </row>
    <row r="1401" spans="1:27">
      <c r="A1401" s="9"/>
      <c r="Z1401">
        <f>TRIM(A1401&amp;"")</f>
        <v/>
      </c>
      <c r="AA1401">
        <f>IF(Z1401="","",IF(MATCH(SUBSTITUTE(SUBSTITUTE(SUBSTITUTE(Z1401,"~","~~"),"*","~*"),"?","~?"),$Z$5:$Z$5004,0)=1397,MAX($AA$4:AA1400)+1,""))</f>
        <v/>
      </c>
    </row>
    <row r="1402" spans="1:27">
      <c r="A1402" s="9"/>
      <c r="Z1402">
        <f>TRIM(A1402&amp;"")</f>
        <v/>
      </c>
      <c r="AA1402">
        <f>IF(Z1402="","",IF(MATCH(SUBSTITUTE(SUBSTITUTE(SUBSTITUTE(Z1402,"~","~~"),"*","~*"),"?","~?"),$Z$5:$Z$5004,0)=1398,MAX($AA$4:AA1401)+1,""))</f>
        <v/>
      </c>
    </row>
    <row r="1403" spans="1:27">
      <c r="A1403" s="9"/>
      <c r="Z1403">
        <f>TRIM(A1403&amp;"")</f>
        <v/>
      </c>
      <c r="AA1403">
        <f>IF(Z1403="","",IF(MATCH(SUBSTITUTE(SUBSTITUTE(SUBSTITUTE(Z1403,"~","~~"),"*","~*"),"?","~?"),$Z$5:$Z$5004,0)=1399,MAX($AA$4:AA1402)+1,""))</f>
        <v/>
      </c>
    </row>
    <row r="1404" spans="1:27">
      <c r="A1404" s="9"/>
      <c r="Z1404">
        <f>TRIM(A1404&amp;"")</f>
        <v/>
      </c>
      <c r="AA1404">
        <f>IF(Z1404="","",IF(MATCH(SUBSTITUTE(SUBSTITUTE(SUBSTITUTE(Z1404,"~","~~"),"*","~*"),"?","~?"),$Z$5:$Z$5004,0)=1400,MAX($AA$4:AA1403)+1,""))</f>
        <v/>
      </c>
    </row>
    <row r="1405" spans="1:27">
      <c r="A1405" s="9"/>
      <c r="Z1405">
        <f>TRIM(A1405&amp;"")</f>
        <v/>
      </c>
      <c r="AA1405">
        <f>IF(Z1405="","",IF(MATCH(SUBSTITUTE(SUBSTITUTE(SUBSTITUTE(Z1405,"~","~~"),"*","~*"),"?","~?"),$Z$5:$Z$5004,0)=1401,MAX($AA$4:AA1404)+1,""))</f>
        <v/>
      </c>
    </row>
    <row r="1406" spans="1:27">
      <c r="A1406" s="9"/>
      <c r="Z1406">
        <f>TRIM(A1406&amp;"")</f>
        <v/>
      </c>
      <c r="AA1406">
        <f>IF(Z1406="","",IF(MATCH(SUBSTITUTE(SUBSTITUTE(SUBSTITUTE(Z1406,"~","~~"),"*","~*"),"?","~?"),$Z$5:$Z$5004,0)=1402,MAX($AA$4:AA1405)+1,""))</f>
        <v/>
      </c>
    </row>
    <row r="1407" spans="1:27">
      <c r="A1407" s="9"/>
      <c r="Z1407">
        <f>TRIM(A1407&amp;"")</f>
        <v/>
      </c>
      <c r="AA1407">
        <f>IF(Z1407="","",IF(MATCH(SUBSTITUTE(SUBSTITUTE(SUBSTITUTE(Z1407,"~","~~"),"*","~*"),"?","~?"),$Z$5:$Z$5004,0)=1403,MAX($AA$4:AA1406)+1,""))</f>
        <v/>
      </c>
    </row>
    <row r="1408" spans="1:27">
      <c r="A1408" s="9"/>
      <c r="Z1408">
        <f>TRIM(A1408&amp;"")</f>
        <v/>
      </c>
      <c r="AA1408">
        <f>IF(Z1408="","",IF(MATCH(SUBSTITUTE(SUBSTITUTE(SUBSTITUTE(Z1408,"~","~~"),"*","~*"),"?","~?"),$Z$5:$Z$5004,0)=1404,MAX($AA$4:AA1407)+1,""))</f>
        <v/>
      </c>
    </row>
    <row r="1409" spans="1:27">
      <c r="A1409" s="9"/>
      <c r="Z1409">
        <f>TRIM(A1409&amp;"")</f>
        <v/>
      </c>
      <c r="AA1409">
        <f>IF(Z1409="","",IF(MATCH(SUBSTITUTE(SUBSTITUTE(SUBSTITUTE(Z1409,"~","~~"),"*","~*"),"?","~?"),$Z$5:$Z$5004,0)=1405,MAX($AA$4:AA1408)+1,""))</f>
        <v/>
      </c>
    </row>
    <row r="1410" spans="1:27">
      <c r="A1410" s="9"/>
      <c r="Z1410">
        <f>TRIM(A1410&amp;"")</f>
        <v/>
      </c>
      <c r="AA1410">
        <f>IF(Z1410="","",IF(MATCH(SUBSTITUTE(SUBSTITUTE(SUBSTITUTE(Z1410,"~","~~"),"*","~*"),"?","~?"),$Z$5:$Z$5004,0)=1406,MAX($AA$4:AA1409)+1,""))</f>
        <v/>
      </c>
    </row>
    <row r="1411" spans="1:27">
      <c r="A1411" s="9"/>
      <c r="Z1411">
        <f>TRIM(A1411&amp;"")</f>
        <v/>
      </c>
      <c r="AA1411">
        <f>IF(Z1411="","",IF(MATCH(SUBSTITUTE(SUBSTITUTE(SUBSTITUTE(Z1411,"~","~~"),"*","~*"),"?","~?"),$Z$5:$Z$5004,0)=1407,MAX($AA$4:AA1410)+1,""))</f>
        <v/>
      </c>
    </row>
    <row r="1412" spans="1:27">
      <c r="A1412" s="9"/>
      <c r="Z1412">
        <f>TRIM(A1412&amp;"")</f>
        <v/>
      </c>
      <c r="AA1412">
        <f>IF(Z1412="","",IF(MATCH(SUBSTITUTE(SUBSTITUTE(SUBSTITUTE(Z1412,"~","~~"),"*","~*"),"?","~?"),$Z$5:$Z$5004,0)=1408,MAX($AA$4:AA1411)+1,""))</f>
        <v/>
      </c>
    </row>
    <row r="1413" spans="1:27">
      <c r="A1413" s="9"/>
      <c r="Z1413">
        <f>TRIM(A1413&amp;"")</f>
        <v/>
      </c>
      <c r="AA1413">
        <f>IF(Z1413="","",IF(MATCH(SUBSTITUTE(SUBSTITUTE(SUBSTITUTE(Z1413,"~","~~"),"*","~*"),"?","~?"),$Z$5:$Z$5004,0)=1409,MAX($AA$4:AA1412)+1,""))</f>
        <v/>
      </c>
    </row>
    <row r="1414" spans="1:27">
      <c r="A1414" s="9"/>
      <c r="Z1414">
        <f>TRIM(A1414&amp;"")</f>
        <v/>
      </c>
      <c r="AA1414">
        <f>IF(Z1414="","",IF(MATCH(SUBSTITUTE(SUBSTITUTE(SUBSTITUTE(Z1414,"~","~~"),"*","~*"),"?","~?"),$Z$5:$Z$5004,0)=1410,MAX($AA$4:AA1413)+1,""))</f>
        <v/>
      </c>
    </row>
    <row r="1415" spans="1:27">
      <c r="A1415" s="9"/>
      <c r="Z1415">
        <f>TRIM(A1415&amp;"")</f>
        <v/>
      </c>
      <c r="AA1415">
        <f>IF(Z1415="","",IF(MATCH(SUBSTITUTE(SUBSTITUTE(SUBSTITUTE(Z1415,"~","~~"),"*","~*"),"?","~?"),$Z$5:$Z$5004,0)=1411,MAX($AA$4:AA1414)+1,""))</f>
        <v/>
      </c>
    </row>
    <row r="1416" spans="1:27">
      <c r="A1416" s="9"/>
      <c r="Z1416">
        <f>TRIM(A1416&amp;"")</f>
        <v/>
      </c>
      <c r="AA1416">
        <f>IF(Z1416="","",IF(MATCH(SUBSTITUTE(SUBSTITUTE(SUBSTITUTE(Z1416,"~","~~"),"*","~*"),"?","~?"),$Z$5:$Z$5004,0)=1412,MAX($AA$4:AA1415)+1,""))</f>
        <v/>
      </c>
    </row>
    <row r="1417" spans="1:27">
      <c r="A1417" s="9"/>
      <c r="Z1417">
        <f>TRIM(A1417&amp;"")</f>
        <v/>
      </c>
      <c r="AA1417">
        <f>IF(Z1417="","",IF(MATCH(SUBSTITUTE(SUBSTITUTE(SUBSTITUTE(Z1417,"~","~~"),"*","~*"),"?","~?"),$Z$5:$Z$5004,0)=1413,MAX($AA$4:AA1416)+1,""))</f>
        <v/>
      </c>
    </row>
    <row r="1418" spans="1:27">
      <c r="A1418" s="9"/>
      <c r="Z1418">
        <f>TRIM(A1418&amp;"")</f>
        <v/>
      </c>
      <c r="AA1418">
        <f>IF(Z1418="","",IF(MATCH(SUBSTITUTE(SUBSTITUTE(SUBSTITUTE(Z1418,"~","~~"),"*","~*"),"?","~?"),$Z$5:$Z$5004,0)=1414,MAX($AA$4:AA1417)+1,""))</f>
        <v/>
      </c>
    </row>
    <row r="1419" spans="1:27">
      <c r="A1419" s="9"/>
      <c r="Z1419">
        <f>TRIM(A1419&amp;"")</f>
        <v/>
      </c>
      <c r="AA1419">
        <f>IF(Z1419="","",IF(MATCH(SUBSTITUTE(SUBSTITUTE(SUBSTITUTE(Z1419,"~","~~"),"*","~*"),"?","~?"),$Z$5:$Z$5004,0)=1415,MAX($AA$4:AA1418)+1,""))</f>
        <v/>
      </c>
    </row>
    <row r="1420" spans="1:27">
      <c r="A1420" s="9"/>
      <c r="Z1420">
        <f>TRIM(A1420&amp;"")</f>
        <v/>
      </c>
      <c r="AA1420">
        <f>IF(Z1420="","",IF(MATCH(SUBSTITUTE(SUBSTITUTE(SUBSTITUTE(Z1420,"~","~~"),"*","~*"),"?","~?"),$Z$5:$Z$5004,0)=1416,MAX($AA$4:AA1419)+1,""))</f>
        <v/>
      </c>
    </row>
    <row r="1421" spans="1:27">
      <c r="A1421" s="9"/>
      <c r="Z1421">
        <f>TRIM(A1421&amp;"")</f>
        <v/>
      </c>
      <c r="AA1421">
        <f>IF(Z1421="","",IF(MATCH(SUBSTITUTE(SUBSTITUTE(SUBSTITUTE(Z1421,"~","~~"),"*","~*"),"?","~?"),$Z$5:$Z$5004,0)=1417,MAX($AA$4:AA1420)+1,""))</f>
        <v/>
      </c>
    </row>
    <row r="1422" spans="1:27">
      <c r="A1422" s="9"/>
      <c r="Z1422">
        <f>TRIM(A1422&amp;"")</f>
        <v/>
      </c>
      <c r="AA1422">
        <f>IF(Z1422="","",IF(MATCH(SUBSTITUTE(SUBSTITUTE(SUBSTITUTE(Z1422,"~","~~"),"*","~*"),"?","~?"),$Z$5:$Z$5004,0)=1418,MAX($AA$4:AA1421)+1,""))</f>
        <v/>
      </c>
    </row>
    <row r="1423" spans="1:27">
      <c r="A1423" s="9"/>
      <c r="Z1423">
        <f>TRIM(A1423&amp;"")</f>
        <v/>
      </c>
      <c r="AA1423">
        <f>IF(Z1423="","",IF(MATCH(SUBSTITUTE(SUBSTITUTE(SUBSTITUTE(Z1423,"~","~~"),"*","~*"),"?","~?"),$Z$5:$Z$5004,0)=1419,MAX($AA$4:AA1422)+1,""))</f>
        <v/>
      </c>
    </row>
    <row r="1424" spans="1:27">
      <c r="A1424" s="9"/>
      <c r="Z1424">
        <f>TRIM(A1424&amp;"")</f>
        <v/>
      </c>
      <c r="AA1424">
        <f>IF(Z1424="","",IF(MATCH(SUBSTITUTE(SUBSTITUTE(SUBSTITUTE(Z1424,"~","~~"),"*","~*"),"?","~?"),$Z$5:$Z$5004,0)=1420,MAX($AA$4:AA1423)+1,""))</f>
        <v/>
      </c>
    </row>
    <row r="1425" spans="1:27">
      <c r="A1425" s="9"/>
      <c r="Z1425">
        <f>TRIM(A1425&amp;"")</f>
        <v/>
      </c>
      <c r="AA1425">
        <f>IF(Z1425="","",IF(MATCH(SUBSTITUTE(SUBSTITUTE(SUBSTITUTE(Z1425,"~","~~"),"*","~*"),"?","~?"),$Z$5:$Z$5004,0)=1421,MAX($AA$4:AA1424)+1,""))</f>
        <v/>
      </c>
    </row>
    <row r="1426" spans="1:27">
      <c r="A1426" s="9"/>
      <c r="Z1426">
        <f>TRIM(A1426&amp;"")</f>
        <v/>
      </c>
      <c r="AA1426">
        <f>IF(Z1426="","",IF(MATCH(SUBSTITUTE(SUBSTITUTE(SUBSTITUTE(Z1426,"~","~~"),"*","~*"),"?","~?"),$Z$5:$Z$5004,0)=1422,MAX($AA$4:AA1425)+1,""))</f>
        <v/>
      </c>
    </row>
    <row r="1427" spans="1:27">
      <c r="A1427" s="9"/>
      <c r="Z1427">
        <f>TRIM(A1427&amp;"")</f>
        <v/>
      </c>
      <c r="AA1427">
        <f>IF(Z1427="","",IF(MATCH(SUBSTITUTE(SUBSTITUTE(SUBSTITUTE(Z1427,"~","~~"),"*","~*"),"?","~?"),$Z$5:$Z$5004,0)=1423,MAX($AA$4:AA1426)+1,""))</f>
        <v/>
      </c>
    </row>
    <row r="1428" spans="1:27">
      <c r="A1428" s="9"/>
      <c r="Z1428">
        <f>TRIM(A1428&amp;"")</f>
        <v/>
      </c>
      <c r="AA1428">
        <f>IF(Z1428="","",IF(MATCH(SUBSTITUTE(SUBSTITUTE(SUBSTITUTE(Z1428,"~","~~"),"*","~*"),"?","~?"),$Z$5:$Z$5004,0)=1424,MAX($AA$4:AA1427)+1,""))</f>
        <v/>
      </c>
    </row>
    <row r="1429" spans="1:27">
      <c r="A1429" s="9"/>
      <c r="Z1429">
        <f>TRIM(A1429&amp;"")</f>
        <v/>
      </c>
      <c r="AA1429">
        <f>IF(Z1429="","",IF(MATCH(SUBSTITUTE(SUBSTITUTE(SUBSTITUTE(Z1429,"~","~~"),"*","~*"),"?","~?"),$Z$5:$Z$5004,0)=1425,MAX($AA$4:AA1428)+1,""))</f>
        <v/>
      </c>
    </row>
    <row r="1430" spans="1:27">
      <c r="A1430" s="9"/>
      <c r="Z1430">
        <f>TRIM(A1430&amp;"")</f>
        <v/>
      </c>
      <c r="AA1430">
        <f>IF(Z1430="","",IF(MATCH(SUBSTITUTE(SUBSTITUTE(SUBSTITUTE(Z1430,"~","~~"),"*","~*"),"?","~?"),$Z$5:$Z$5004,0)=1426,MAX($AA$4:AA1429)+1,""))</f>
        <v/>
      </c>
    </row>
    <row r="1431" spans="1:27">
      <c r="A1431" s="9"/>
      <c r="Z1431">
        <f>TRIM(A1431&amp;"")</f>
        <v/>
      </c>
      <c r="AA1431">
        <f>IF(Z1431="","",IF(MATCH(SUBSTITUTE(SUBSTITUTE(SUBSTITUTE(Z1431,"~","~~"),"*","~*"),"?","~?"),$Z$5:$Z$5004,0)=1427,MAX($AA$4:AA1430)+1,""))</f>
        <v/>
      </c>
    </row>
    <row r="1432" spans="1:27">
      <c r="A1432" s="9"/>
      <c r="Z1432">
        <f>TRIM(A1432&amp;"")</f>
        <v/>
      </c>
      <c r="AA1432">
        <f>IF(Z1432="","",IF(MATCH(SUBSTITUTE(SUBSTITUTE(SUBSTITUTE(Z1432,"~","~~"),"*","~*"),"?","~?"),$Z$5:$Z$5004,0)=1428,MAX($AA$4:AA1431)+1,""))</f>
        <v/>
      </c>
    </row>
    <row r="1433" spans="1:27">
      <c r="A1433" s="9"/>
      <c r="Z1433">
        <f>TRIM(A1433&amp;"")</f>
        <v/>
      </c>
      <c r="AA1433">
        <f>IF(Z1433="","",IF(MATCH(SUBSTITUTE(SUBSTITUTE(SUBSTITUTE(Z1433,"~","~~"),"*","~*"),"?","~?"),$Z$5:$Z$5004,0)=1429,MAX($AA$4:AA1432)+1,""))</f>
        <v/>
      </c>
    </row>
    <row r="1434" spans="1:27">
      <c r="A1434" s="9"/>
      <c r="Z1434">
        <f>TRIM(A1434&amp;"")</f>
        <v/>
      </c>
      <c r="AA1434">
        <f>IF(Z1434="","",IF(MATCH(SUBSTITUTE(SUBSTITUTE(SUBSTITUTE(Z1434,"~","~~"),"*","~*"),"?","~?"),$Z$5:$Z$5004,0)=1430,MAX($AA$4:AA1433)+1,""))</f>
        <v/>
      </c>
    </row>
    <row r="1435" spans="1:27">
      <c r="A1435" s="9"/>
      <c r="Z1435">
        <f>TRIM(A1435&amp;"")</f>
        <v/>
      </c>
      <c r="AA1435">
        <f>IF(Z1435="","",IF(MATCH(SUBSTITUTE(SUBSTITUTE(SUBSTITUTE(Z1435,"~","~~"),"*","~*"),"?","~?"),$Z$5:$Z$5004,0)=1431,MAX($AA$4:AA1434)+1,""))</f>
        <v/>
      </c>
    </row>
    <row r="1436" spans="1:27">
      <c r="A1436" s="9"/>
      <c r="Z1436">
        <f>TRIM(A1436&amp;"")</f>
        <v/>
      </c>
      <c r="AA1436">
        <f>IF(Z1436="","",IF(MATCH(SUBSTITUTE(SUBSTITUTE(SUBSTITUTE(Z1436,"~","~~"),"*","~*"),"?","~?"),$Z$5:$Z$5004,0)=1432,MAX($AA$4:AA1435)+1,""))</f>
        <v/>
      </c>
    </row>
    <row r="1437" spans="1:27">
      <c r="A1437" s="9"/>
      <c r="Z1437">
        <f>TRIM(A1437&amp;"")</f>
        <v/>
      </c>
      <c r="AA1437">
        <f>IF(Z1437="","",IF(MATCH(SUBSTITUTE(SUBSTITUTE(SUBSTITUTE(Z1437,"~","~~"),"*","~*"),"?","~?"),$Z$5:$Z$5004,0)=1433,MAX($AA$4:AA1436)+1,""))</f>
        <v/>
      </c>
    </row>
    <row r="1438" spans="1:27">
      <c r="A1438" s="9"/>
      <c r="Z1438">
        <f>TRIM(A1438&amp;"")</f>
        <v/>
      </c>
      <c r="AA1438">
        <f>IF(Z1438="","",IF(MATCH(SUBSTITUTE(SUBSTITUTE(SUBSTITUTE(Z1438,"~","~~"),"*","~*"),"?","~?"),$Z$5:$Z$5004,0)=1434,MAX($AA$4:AA1437)+1,""))</f>
        <v/>
      </c>
    </row>
    <row r="1439" spans="1:27">
      <c r="A1439" s="9"/>
      <c r="Z1439">
        <f>TRIM(A1439&amp;"")</f>
        <v/>
      </c>
      <c r="AA1439">
        <f>IF(Z1439="","",IF(MATCH(SUBSTITUTE(SUBSTITUTE(SUBSTITUTE(Z1439,"~","~~"),"*","~*"),"?","~?"),$Z$5:$Z$5004,0)=1435,MAX($AA$4:AA1438)+1,""))</f>
        <v/>
      </c>
    </row>
    <row r="1440" spans="1:27">
      <c r="A1440" s="9"/>
      <c r="Z1440">
        <f>TRIM(A1440&amp;"")</f>
        <v/>
      </c>
      <c r="AA1440">
        <f>IF(Z1440="","",IF(MATCH(SUBSTITUTE(SUBSTITUTE(SUBSTITUTE(Z1440,"~","~~"),"*","~*"),"?","~?"),$Z$5:$Z$5004,0)=1436,MAX($AA$4:AA1439)+1,""))</f>
        <v/>
      </c>
    </row>
    <row r="1441" spans="1:27">
      <c r="A1441" s="9"/>
      <c r="Z1441">
        <f>TRIM(A1441&amp;"")</f>
        <v/>
      </c>
      <c r="AA1441">
        <f>IF(Z1441="","",IF(MATCH(SUBSTITUTE(SUBSTITUTE(SUBSTITUTE(Z1441,"~","~~"),"*","~*"),"?","~?"),$Z$5:$Z$5004,0)=1437,MAX($AA$4:AA1440)+1,""))</f>
        <v/>
      </c>
    </row>
    <row r="1442" spans="1:27">
      <c r="A1442" s="9"/>
      <c r="Z1442">
        <f>TRIM(A1442&amp;"")</f>
        <v/>
      </c>
      <c r="AA1442">
        <f>IF(Z1442="","",IF(MATCH(SUBSTITUTE(SUBSTITUTE(SUBSTITUTE(Z1442,"~","~~"),"*","~*"),"?","~?"),$Z$5:$Z$5004,0)=1438,MAX($AA$4:AA1441)+1,""))</f>
        <v/>
      </c>
    </row>
    <row r="1443" spans="1:27">
      <c r="A1443" s="9"/>
      <c r="Z1443">
        <f>TRIM(A1443&amp;"")</f>
        <v/>
      </c>
      <c r="AA1443">
        <f>IF(Z1443="","",IF(MATCH(SUBSTITUTE(SUBSTITUTE(SUBSTITUTE(Z1443,"~","~~"),"*","~*"),"?","~?"),$Z$5:$Z$5004,0)=1439,MAX($AA$4:AA1442)+1,""))</f>
        <v/>
      </c>
    </row>
    <row r="1444" spans="1:27">
      <c r="A1444" s="9"/>
      <c r="Z1444">
        <f>TRIM(A1444&amp;"")</f>
        <v/>
      </c>
      <c r="AA1444">
        <f>IF(Z1444="","",IF(MATCH(SUBSTITUTE(SUBSTITUTE(SUBSTITUTE(Z1444,"~","~~"),"*","~*"),"?","~?"),$Z$5:$Z$5004,0)=1440,MAX($AA$4:AA1443)+1,""))</f>
        <v/>
      </c>
    </row>
    <row r="1445" spans="1:27">
      <c r="A1445" s="9"/>
      <c r="Z1445">
        <f>TRIM(A1445&amp;"")</f>
        <v/>
      </c>
      <c r="AA1445">
        <f>IF(Z1445="","",IF(MATCH(SUBSTITUTE(SUBSTITUTE(SUBSTITUTE(Z1445,"~","~~"),"*","~*"),"?","~?"),$Z$5:$Z$5004,0)=1441,MAX($AA$4:AA1444)+1,""))</f>
        <v/>
      </c>
    </row>
    <row r="1446" spans="1:27">
      <c r="A1446" s="9"/>
      <c r="Z1446">
        <f>TRIM(A1446&amp;"")</f>
        <v/>
      </c>
      <c r="AA1446">
        <f>IF(Z1446="","",IF(MATCH(SUBSTITUTE(SUBSTITUTE(SUBSTITUTE(Z1446,"~","~~"),"*","~*"),"?","~?"),$Z$5:$Z$5004,0)=1442,MAX($AA$4:AA1445)+1,""))</f>
        <v/>
      </c>
    </row>
    <row r="1447" spans="1:27">
      <c r="A1447" s="9"/>
      <c r="Z1447">
        <f>TRIM(A1447&amp;"")</f>
        <v/>
      </c>
      <c r="AA1447">
        <f>IF(Z1447="","",IF(MATCH(SUBSTITUTE(SUBSTITUTE(SUBSTITUTE(Z1447,"~","~~"),"*","~*"),"?","~?"),$Z$5:$Z$5004,0)=1443,MAX($AA$4:AA1446)+1,""))</f>
        <v/>
      </c>
    </row>
    <row r="1448" spans="1:27">
      <c r="A1448" s="9"/>
      <c r="Z1448">
        <f>TRIM(A1448&amp;"")</f>
        <v/>
      </c>
      <c r="AA1448">
        <f>IF(Z1448="","",IF(MATCH(SUBSTITUTE(SUBSTITUTE(SUBSTITUTE(Z1448,"~","~~"),"*","~*"),"?","~?"),$Z$5:$Z$5004,0)=1444,MAX($AA$4:AA1447)+1,""))</f>
        <v/>
      </c>
    </row>
    <row r="1449" spans="1:27">
      <c r="A1449" s="9"/>
      <c r="Z1449">
        <f>TRIM(A1449&amp;"")</f>
        <v/>
      </c>
      <c r="AA1449">
        <f>IF(Z1449="","",IF(MATCH(SUBSTITUTE(SUBSTITUTE(SUBSTITUTE(Z1449,"~","~~"),"*","~*"),"?","~?"),$Z$5:$Z$5004,0)=1445,MAX($AA$4:AA1448)+1,""))</f>
        <v/>
      </c>
    </row>
    <row r="1450" spans="1:27">
      <c r="A1450" s="9"/>
      <c r="Z1450">
        <f>TRIM(A1450&amp;"")</f>
        <v/>
      </c>
      <c r="AA1450">
        <f>IF(Z1450="","",IF(MATCH(SUBSTITUTE(SUBSTITUTE(SUBSTITUTE(Z1450,"~","~~"),"*","~*"),"?","~?"),$Z$5:$Z$5004,0)=1446,MAX($AA$4:AA1449)+1,""))</f>
        <v/>
      </c>
    </row>
    <row r="1451" spans="1:27">
      <c r="A1451" s="9"/>
      <c r="Z1451">
        <f>TRIM(A1451&amp;"")</f>
        <v/>
      </c>
      <c r="AA1451">
        <f>IF(Z1451="","",IF(MATCH(SUBSTITUTE(SUBSTITUTE(SUBSTITUTE(Z1451,"~","~~"),"*","~*"),"?","~?"),$Z$5:$Z$5004,0)=1447,MAX($AA$4:AA1450)+1,""))</f>
        <v/>
      </c>
    </row>
    <row r="1452" spans="1:27">
      <c r="A1452" s="9"/>
      <c r="Z1452">
        <f>TRIM(A1452&amp;"")</f>
        <v/>
      </c>
      <c r="AA1452">
        <f>IF(Z1452="","",IF(MATCH(SUBSTITUTE(SUBSTITUTE(SUBSTITUTE(Z1452,"~","~~"),"*","~*"),"?","~?"),$Z$5:$Z$5004,0)=1448,MAX($AA$4:AA1451)+1,""))</f>
        <v/>
      </c>
    </row>
    <row r="1453" spans="1:27">
      <c r="A1453" s="9"/>
      <c r="Z1453">
        <f>TRIM(A1453&amp;"")</f>
        <v/>
      </c>
      <c r="AA1453">
        <f>IF(Z1453="","",IF(MATCH(SUBSTITUTE(SUBSTITUTE(SUBSTITUTE(Z1453,"~","~~"),"*","~*"),"?","~?"),$Z$5:$Z$5004,0)=1449,MAX($AA$4:AA1452)+1,""))</f>
        <v/>
      </c>
    </row>
    <row r="1454" spans="1:27">
      <c r="A1454" s="9"/>
      <c r="Z1454">
        <f>TRIM(A1454&amp;"")</f>
        <v/>
      </c>
      <c r="AA1454">
        <f>IF(Z1454="","",IF(MATCH(SUBSTITUTE(SUBSTITUTE(SUBSTITUTE(Z1454,"~","~~"),"*","~*"),"?","~?"),$Z$5:$Z$5004,0)=1450,MAX($AA$4:AA1453)+1,""))</f>
        <v/>
      </c>
    </row>
    <row r="1455" spans="1:27">
      <c r="A1455" s="9"/>
      <c r="Z1455">
        <f>TRIM(A1455&amp;"")</f>
        <v/>
      </c>
      <c r="AA1455">
        <f>IF(Z1455="","",IF(MATCH(SUBSTITUTE(SUBSTITUTE(SUBSTITUTE(Z1455,"~","~~"),"*","~*"),"?","~?"),$Z$5:$Z$5004,0)=1451,MAX($AA$4:AA1454)+1,""))</f>
        <v/>
      </c>
    </row>
    <row r="1456" spans="1:27">
      <c r="A1456" s="9"/>
      <c r="Z1456">
        <f>TRIM(A1456&amp;"")</f>
        <v/>
      </c>
      <c r="AA1456">
        <f>IF(Z1456="","",IF(MATCH(SUBSTITUTE(SUBSTITUTE(SUBSTITUTE(Z1456,"~","~~"),"*","~*"),"?","~?"),$Z$5:$Z$5004,0)=1452,MAX($AA$4:AA1455)+1,""))</f>
        <v/>
      </c>
    </row>
    <row r="1457" spans="1:27">
      <c r="A1457" s="9"/>
      <c r="Z1457">
        <f>TRIM(A1457&amp;"")</f>
        <v/>
      </c>
      <c r="AA1457">
        <f>IF(Z1457="","",IF(MATCH(SUBSTITUTE(SUBSTITUTE(SUBSTITUTE(Z1457,"~","~~"),"*","~*"),"?","~?"),$Z$5:$Z$5004,0)=1453,MAX($AA$4:AA1456)+1,""))</f>
        <v/>
      </c>
    </row>
    <row r="1458" spans="1:27">
      <c r="A1458" s="9"/>
      <c r="Z1458">
        <f>TRIM(A1458&amp;"")</f>
        <v/>
      </c>
      <c r="AA1458">
        <f>IF(Z1458="","",IF(MATCH(SUBSTITUTE(SUBSTITUTE(SUBSTITUTE(Z1458,"~","~~"),"*","~*"),"?","~?"),$Z$5:$Z$5004,0)=1454,MAX($AA$4:AA1457)+1,""))</f>
        <v/>
      </c>
    </row>
    <row r="1459" spans="1:27">
      <c r="A1459" s="9"/>
      <c r="Z1459">
        <f>TRIM(A1459&amp;"")</f>
        <v/>
      </c>
      <c r="AA1459">
        <f>IF(Z1459="","",IF(MATCH(SUBSTITUTE(SUBSTITUTE(SUBSTITUTE(Z1459,"~","~~"),"*","~*"),"?","~?"),$Z$5:$Z$5004,0)=1455,MAX($AA$4:AA1458)+1,""))</f>
        <v/>
      </c>
    </row>
    <row r="1460" spans="1:27">
      <c r="A1460" s="9"/>
      <c r="Z1460">
        <f>TRIM(A1460&amp;"")</f>
        <v/>
      </c>
      <c r="AA1460">
        <f>IF(Z1460="","",IF(MATCH(SUBSTITUTE(SUBSTITUTE(SUBSTITUTE(Z1460,"~","~~"),"*","~*"),"?","~?"),$Z$5:$Z$5004,0)=1456,MAX($AA$4:AA1459)+1,""))</f>
        <v/>
      </c>
    </row>
    <row r="1461" spans="1:27">
      <c r="A1461" s="9"/>
      <c r="Z1461">
        <f>TRIM(A1461&amp;"")</f>
        <v/>
      </c>
      <c r="AA1461">
        <f>IF(Z1461="","",IF(MATCH(SUBSTITUTE(SUBSTITUTE(SUBSTITUTE(Z1461,"~","~~"),"*","~*"),"?","~?"),$Z$5:$Z$5004,0)=1457,MAX($AA$4:AA1460)+1,""))</f>
        <v/>
      </c>
    </row>
    <row r="1462" spans="1:27">
      <c r="A1462" s="9"/>
      <c r="Z1462">
        <f>TRIM(A1462&amp;"")</f>
        <v/>
      </c>
      <c r="AA1462">
        <f>IF(Z1462="","",IF(MATCH(SUBSTITUTE(SUBSTITUTE(SUBSTITUTE(Z1462,"~","~~"),"*","~*"),"?","~?"),$Z$5:$Z$5004,0)=1458,MAX($AA$4:AA1461)+1,""))</f>
        <v/>
      </c>
    </row>
    <row r="1463" spans="1:27">
      <c r="A1463" s="9"/>
      <c r="Z1463">
        <f>TRIM(A1463&amp;"")</f>
        <v/>
      </c>
      <c r="AA1463">
        <f>IF(Z1463="","",IF(MATCH(SUBSTITUTE(SUBSTITUTE(SUBSTITUTE(Z1463,"~","~~"),"*","~*"),"?","~?"),$Z$5:$Z$5004,0)=1459,MAX($AA$4:AA1462)+1,""))</f>
        <v/>
      </c>
    </row>
    <row r="1464" spans="1:27">
      <c r="A1464" s="9"/>
      <c r="Z1464">
        <f>TRIM(A1464&amp;"")</f>
        <v/>
      </c>
      <c r="AA1464">
        <f>IF(Z1464="","",IF(MATCH(SUBSTITUTE(SUBSTITUTE(SUBSTITUTE(Z1464,"~","~~"),"*","~*"),"?","~?"),$Z$5:$Z$5004,0)=1460,MAX($AA$4:AA1463)+1,""))</f>
        <v/>
      </c>
    </row>
    <row r="1465" spans="1:27">
      <c r="A1465" s="9"/>
      <c r="Z1465">
        <f>TRIM(A1465&amp;"")</f>
        <v/>
      </c>
      <c r="AA1465">
        <f>IF(Z1465="","",IF(MATCH(SUBSTITUTE(SUBSTITUTE(SUBSTITUTE(Z1465,"~","~~"),"*","~*"),"?","~?"),$Z$5:$Z$5004,0)=1461,MAX($AA$4:AA1464)+1,""))</f>
        <v/>
      </c>
    </row>
    <row r="1466" spans="1:27">
      <c r="A1466" s="9"/>
      <c r="Z1466">
        <f>TRIM(A1466&amp;"")</f>
        <v/>
      </c>
      <c r="AA1466">
        <f>IF(Z1466="","",IF(MATCH(SUBSTITUTE(SUBSTITUTE(SUBSTITUTE(Z1466,"~","~~"),"*","~*"),"?","~?"),$Z$5:$Z$5004,0)=1462,MAX($AA$4:AA1465)+1,""))</f>
        <v/>
      </c>
    </row>
    <row r="1467" spans="1:27">
      <c r="A1467" s="9"/>
      <c r="Z1467">
        <f>TRIM(A1467&amp;"")</f>
        <v/>
      </c>
      <c r="AA1467">
        <f>IF(Z1467="","",IF(MATCH(SUBSTITUTE(SUBSTITUTE(SUBSTITUTE(Z1467,"~","~~"),"*","~*"),"?","~?"),$Z$5:$Z$5004,0)=1463,MAX($AA$4:AA1466)+1,""))</f>
        <v/>
      </c>
    </row>
    <row r="1468" spans="1:27">
      <c r="A1468" s="9"/>
      <c r="Z1468">
        <f>TRIM(A1468&amp;"")</f>
        <v/>
      </c>
      <c r="AA1468">
        <f>IF(Z1468="","",IF(MATCH(SUBSTITUTE(SUBSTITUTE(SUBSTITUTE(Z1468,"~","~~"),"*","~*"),"?","~?"),$Z$5:$Z$5004,0)=1464,MAX($AA$4:AA1467)+1,""))</f>
        <v/>
      </c>
    </row>
    <row r="1469" spans="1:27">
      <c r="A1469" s="9"/>
      <c r="Z1469">
        <f>TRIM(A1469&amp;"")</f>
        <v/>
      </c>
      <c r="AA1469">
        <f>IF(Z1469="","",IF(MATCH(SUBSTITUTE(SUBSTITUTE(SUBSTITUTE(Z1469,"~","~~"),"*","~*"),"?","~?"),$Z$5:$Z$5004,0)=1465,MAX($AA$4:AA1468)+1,""))</f>
        <v/>
      </c>
    </row>
    <row r="1470" spans="1:27">
      <c r="A1470" s="9"/>
      <c r="Z1470">
        <f>TRIM(A1470&amp;"")</f>
        <v/>
      </c>
      <c r="AA1470">
        <f>IF(Z1470="","",IF(MATCH(SUBSTITUTE(SUBSTITUTE(SUBSTITUTE(Z1470,"~","~~"),"*","~*"),"?","~?"),$Z$5:$Z$5004,0)=1466,MAX($AA$4:AA1469)+1,""))</f>
        <v/>
      </c>
    </row>
    <row r="1471" spans="1:27">
      <c r="A1471" s="9"/>
      <c r="Z1471">
        <f>TRIM(A1471&amp;"")</f>
        <v/>
      </c>
      <c r="AA1471">
        <f>IF(Z1471="","",IF(MATCH(SUBSTITUTE(SUBSTITUTE(SUBSTITUTE(Z1471,"~","~~"),"*","~*"),"?","~?"),$Z$5:$Z$5004,0)=1467,MAX($AA$4:AA1470)+1,""))</f>
        <v/>
      </c>
    </row>
    <row r="1472" spans="1:27">
      <c r="A1472" s="9"/>
      <c r="Z1472">
        <f>TRIM(A1472&amp;"")</f>
        <v/>
      </c>
      <c r="AA1472">
        <f>IF(Z1472="","",IF(MATCH(SUBSTITUTE(SUBSTITUTE(SUBSTITUTE(Z1472,"~","~~"),"*","~*"),"?","~?"),$Z$5:$Z$5004,0)=1468,MAX($AA$4:AA1471)+1,""))</f>
        <v/>
      </c>
    </row>
    <row r="1473" spans="1:27">
      <c r="A1473" s="9"/>
      <c r="Z1473">
        <f>TRIM(A1473&amp;"")</f>
        <v/>
      </c>
      <c r="AA1473">
        <f>IF(Z1473="","",IF(MATCH(SUBSTITUTE(SUBSTITUTE(SUBSTITUTE(Z1473,"~","~~"),"*","~*"),"?","~?"),$Z$5:$Z$5004,0)=1469,MAX($AA$4:AA1472)+1,""))</f>
        <v/>
      </c>
    </row>
    <row r="1474" spans="1:27">
      <c r="A1474" s="9"/>
      <c r="Z1474">
        <f>TRIM(A1474&amp;"")</f>
        <v/>
      </c>
      <c r="AA1474">
        <f>IF(Z1474="","",IF(MATCH(SUBSTITUTE(SUBSTITUTE(SUBSTITUTE(Z1474,"~","~~"),"*","~*"),"?","~?"),$Z$5:$Z$5004,0)=1470,MAX($AA$4:AA1473)+1,""))</f>
        <v/>
      </c>
    </row>
    <row r="1475" spans="1:27">
      <c r="A1475" s="9"/>
      <c r="Z1475">
        <f>TRIM(A1475&amp;"")</f>
        <v/>
      </c>
      <c r="AA1475">
        <f>IF(Z1475="","",IF(MATCH(SUBSTITUTE(SUBSTITUTE(SUBSTITUTE(Z1475,"~","~~"),"*","~*"),"?","~?"),$Z$5:$Z$5004,0)=1471,MAX($AA$4:AA1474)+1,""))</f>
        <v/>
      </c>
    </row>
    <row r="1476" spans="1:27">
      <c r="A1476" s="9"/>
      <c r="Z1476">
        <f>TRIM(A1476&amp;"")</f>
        <v/>
      </c>
      <c r="AA1476">
        <f>IF(Z1476="","",IF(MATCH(SUBSTITUTE(SUBSTITUTE(SUBSTITUTE(Z1476,"~","~~"),"*","~*"),"?","~?"),$Z$5:$Z$5004,0)=1472,MAX($AA$4:AA1475)+1,""))</f>
        <v/>
      </c>
    </row>
    <row r="1477" spans="1:27">
      <c r="A1477" s="9"/>
      <c r="Z1477">
        <f>TRIM(A1477&amp;"")</f>
        <v/>
      </c>
      <c r="AA1477">
        <f>IF(Z1477="","",IF(MATCH(SUBSTITUTE(SUBSTITUTE(SUBSTITUTE(Z1477,"~","~~"),"*","~*"),"?","~?"),$Z$5:$Z$5004,0)=1473,MAX($AA$4:AA1476)+1,""))</f>
        <v/>
      </c>
    </row>
    <row r="1478" spans="1:27">
      <c r="A1478" s="9"/>
      <c r="Z1478">
        <f>TRIM(A1478&amp;"")</f>
        <v/>
      </c>
      <c r="AA1478">
        <f>IF(Z1478="","",IF(MATCH(SUBSTITUTE(SUBSTITUTE(SUBSTITUTE(Z1478,"~","~~"),"*","~*"),"?","~?"),$Z$5:$Z$5004,0)=1474,MAX($AA$4:AA1477)+1,""))</f>
        <v/>
      </c>
    </row>
    <row r="1479" spans="1:27">
      <c r="A1479" s="9"/>
      <c r="Z1479">
        <f>TRIM(A1479&amp;"")</f>
        <v/>
      </c>
      <c r="AA1479">
        <f>IF(Z1479="","",IF(MATCH(SUBSTITUTE(SUBSTITUTE(SUBSTITUTE(Z1479,"~","~~"),"*","~*"),"?","~?"),$Z$5:$Z$5004,0)=1475,MAX($AA$4:AA1478)+1,""))</f>
        <v/>
      </c>
    </row>
    <row r="1480" spans="1:27">
      <c r="A1480" s="9"/>
      <c r="Z1480">
        <f>TRIM(A1480&amp;"")</f>
        <v/>
      </c>
      <c r="AA1480">
        <f>IF(Z1480="","",IF(MATCH(SUBSTITUTE(SUBSTITUTE(SUBSTITUTE(Z1480,"~","~~"),"*","~*"),"?","~?"),$Z$5:$Z$5004,0)=1476,MAX($AA$4:AA1479)+1,""))</f>
        <v/>
      </c>
    </row>
    <row r="1481" spans="1:27">
      <c r="A1481" s="9"/>
      <c r="Z1481">
        <f>TRIM(A1481&amp;"")</f>
        <v/>
      </c>
      <c r="AA1481">
        <f>IF(Z1481="","",IF(MATCH(SUBSTITUTE(SUBSTITUTE(SUBSTITUTE(Z1481,"~","~~"),"*","~*"),"?","~?"),$Z$5:$Z$5004,0)=1477,MAX($AA$4:AA1480)+1,""))</f>
        <v/>
      </c>
    </row>
    <row r="1482" spans="1:27">
      <c r="A1482" s="9"/>
      <c r="Z1482">
        <f>TRIM(A1482&amp;"")</f>
        <v/>
      </c>
      <c r="AA1482">
        <f>IF(Z1482="","",IF(MATCH(SUBSTITUTE(SUBSTITUTE(SUBSTITUTE(Z1482,"~","~~"),"*","~*"),"?","~?"),$Z$5:$Z$5004,0)=1478,MAX($AA$4:AA1481)+1,""))</f>
        <v/>
      </c>
    </row>
    <row r="1483" spans="1:27">
      <c r="A1483" s="9"/>
      <c r="Z1483">
        <f>TRIM(A1483&amp;"")</f>
        <v/>
      </c>
      <c r="AA1483">
        <f>IF(Z1483="","",IF(MATCH(SUBSTITUTE(SUBSTITUTE(SUBSTITUTE(Z1483,"~","~~"),"*","~*"),"?","~?"),$Z$5:$Z$5004,0)=1479,MAX($AA$4:AA1482)+1,""))</f>
        <v/>
      </c>
    </row>
    <row r="1484" spans="1:27">
      <c r="A1484" s="9"/>
      <c r="Z1484">
        <f>TRIM(A1484&amp;"")</f>
        <v/>
      </c>
      <c r="AA1484">
        <f>IF(Z1484="","",IF(MATCH(SUBSTITUTE(SUBSTITUTE(SUBSTITUTE(Z1484,"~","~~"),"*","~*"),"?","~?"),$Z$5:$Z$5004,0)=1480,MAX($AA$4:AA1483)+1,""))</f>
        <v/>
      </c>
    </row>
    <row r="1485" spans="1:27">
      <c r="A1485" s="9"/>
      <c r="Z1485">
        <f>TRIM(A1485&amp;"")</f>
        <v/>
      </c>
      <c r="AA1485">
        <f>IF(Z1485="","",IF(MATCH(SUBSTITUTE(SUBSTITUTE(SUBSTITUTE(Z1485,"~","~~"),"*","~*"),"?","~?"),$Z$5:$Z$5004,0)=1481,MAX($AA$4:AA1484)+1,""))</f>
        <v/>
      </c>
    </row>
    <row r="1486" spans="1:27">
      <c r="A1486" s="9"/>
      <c r="Z1486">
        <f>TRIM(A1486&amp;"")</f>
        <v/>
      </c>
      <c r="AA1486">
        <f>IF(Z1486="","",IF(MATCH(SUBSTITUTE(SUBSTITUTE(SUBSTITUTE(Z1486,"~","~~"),"*","~*"),"?","~?"),$Z$5:$Z$5004,0)=1482,MAX($AA$4:AA1485)+1,""))</f>
        <v/>
      </c>
    </row>
    <row r="1487" spans="1:27">
      <c r="A1487" s="9"/>
      <c r="Z1487">
        <f>TRIM(A1487&amp;"")</f>
        <v/>
      </c>
      <c r="AA1487">
        <f>IF(Z1487="","",IF(MATCH(SUBSTITUTE(SUBSTITUTE(SUBSTITUTE(Z1487,"~","~~"),"*","~*"),"?","~?"),$Z$5:$Z$5004,0)=1483,MAX($AA$4:AA1486)+1,""))</f>
        <v/>
      </c>
    </row>
    <row r="1488" spans="1:27">
      <c r="A1488" s="9"/>
      <c r="Z1488">
        <f>TRIM(A1488&amp;"")</f>
        <v/>
      </c>
      <c r="AA1488">
        <f>IF(Z1488="","",IF(MATCH(SUBSTITUTE(SUBSTITUTE(SUBSTITUTE(Z1488,"~","~~"),"*","~*"),"?","~?"),$Z$5:$Z$5004,0)=1484,MAX($AA$4:AA1487)+1,""))</f>
        <v/>
      </c>
    </row>
    <row r="1489" spans="1:27">
      <c r="A1489" s="9"/>
      <c r="Z1489">
        <f>TRIM(A1489&amp;"")</f>
        <v/>
      </c>
      <c r="AA1489">
        <f>IF(Z1489="","",IF(MATCH(SUBSTITUTE(SUBSTITUTE(SUBSTITUTE(Z1489,"~","~~"),"*","~*"),"?","~?"),$Z$5:$Z$5004,0)=1485,MAX($AA$4:AA1488)+1,""))</f>
        <v/>
      </c>
    </row>
    <row r="1490" spans="1:27">
      <c r="A1490" s="9"/>
      <c r="Z1490">
        <f>TRIM(A1490&amp;"")</f>
        <v/>
      </c>
      <c r="AA1490">
        <f>IF(Z1490="","",IF(MATCH(SUBSTITUTE(SUBSTITUTE(SUBSTITUTE(Z1490,"~","~~"),"*","~*"),"?","~?"),$Z$5:$Z$5004,0)=1486,MAX($AA$4:AA1489)+1,""))</f>
        <v/>
      </c>
    </row>
    <row r="1491" spans="1:27">
      <c r="A1491" s="9"/>
      <c r="Z1491">
        <f>TRIM(A1491&amp;"")</f>
        <v/>
      </c>
      <c r="AA1491">
        <f>IF(Z1491="","",IF(MATCH(SUBSTITUTE(SUBSTITUTE(SUBSTITUTE(Z1491,"~","~~"),"*","~*"),"?","~?"),$Z$5:$Z$5004,0)=1487,MAX($AA$4:AA1490)+1,""))</f>
        <v/>
      </c>
    </row>
    <row r="1492" spans="1:27">
      <c r="A1492" s="9"/>
      <c r="Z1492">
        <f>TRIM(A1492&amp;"")</f>
        <v/>
      </c>
      <c r="AA1492">
        <f>IF(Z1492="","",IF(MATCH(SUBSTITUTE(SUBSTITUTE(SUBSTITUTE(Z1492,"~","~~"),"*","~*"),"?","~?"),$Z$5:$Z$5004,0)=1488,MAX($AA$4:AA1491)+1,""))</f>
        <v/>
      </c>
    </row>
    <row r="1493" spans="1:27">
      <c r="A1493" s="9"/>
      <c r="Z1493">
        <f>TRIM(A1493&amp;"")</f>
        <v/>
      </c>
      <c r="AA1493">
        <f>IF(Z1493="","",IF(MATCH(SUBSTITUTE(SUBSTITUTE(SUBSTITUTE(Z1493,"~","~~"),"*","~*"),"?","~?"),$Z$5:$Z$5004,0)=1489,MAX($AA$4:AA1492)+1,""))</f>
        <v/>
      </c>
    </row>
    <row r="1494" spans="1:27">
      <c r="A1494" s="9"/>
      <c r="Z1494">
        <f>TRIM(A1494&amp;"")</f>
        <v/>
      </c>
      <c r="AA1494">
        <f>IF(Z1494="","",IF(MATCH(SUBSTITUTE(SUBSTITUTE(SUBSTITUTE(Z1494,"~","~~"),"*","~*"),"?","~?"),$Z$5:$Z$5004,0)=1490,MAX($AA$4:AA1493)+1,""))</f>
        <v/>
      </c>
    </row>
    <row r="1495" spans="1:27">
      <c r="A1495" s="9"/>
      <c r="Z1495">
        <f>TRIM(A1495&amp;"")</f>
        <v/>
      </c>
      <c r="AA1495">
        <f>IF(Z1495="","",IF(MATCH(SUBSTITUTE(SUBSTITUTE(SUBSTITUTE(Z1495,"~","~~"),"*","~*"),"?","~?"),$Z$5:$Z$5004,0)=1491,MAX($AA$4:AA1494)+1,""))</f>
        <v/>
      </c>
    </row>
    <row r="1496" spans="1:27">
      <c r="A1496" s="9"/>
      <c r="Z1496">
        <f>TRIM(A1496&amp;"")</f>
        <v/>
      </c>
      <c r="AA1496">
        <f>IF(Z1496="","",IF(MATCH(SUBSTITUTE(SUBSTITUTE(SUBSTITUTE(Z1496,"~","~~"),"*","~*"),"?","~?"),$Z$5:$Z$5004,0)=1492,MAX($AA$4:AA1495)+1,""))</f>
        <v/>
      </c>
    </row>
    <row r="1497" spans="1:27">
      <c r="A1497" s="9"/>
      <c r="Z1497">
        <f>TRIM(A1497&amp;"")</f>
        <v/>
      </c>
      <c r="AA1497">
        <f>IF(Z1497="","",IF(MATCH(SUBSTITUTE(SUBSTITUTE(SUBSTITUTE(Z1497,"~","~~"),"*","~*"),"?","~?"),$Z$5:$Z$5004,0)=1493,MAX($AA$4:AA1496)+1,""))</f>
        <v/>
      </c>
    </row>
    <row r="1498" spans="1:27">
      <c r="A1498" s="9"/>
      <c r="Z1498">
        <f>TRIM(A1498&amp;"")</f>
        <v/>
      </c>
      <c r="AA1498">
        <f>IF(Z1498="","",IF(MATCH(SUBSTITUTE(SUBSTITUTE(SUBSTITUTE(Z1498,"~","~~"),"*","~*"),"?","~?"),$Z$5:$Z$5004,0)=1494,MAX($AA$4:AA1497)+1,""))</f>
        <v/>
      </c>
    </row>
    <row r="1499" spans="1:27">
      <c r="A1499" s="9"/>
      <c r="Z1499">
        <f>TRIM(A1499&amp;"")</f>
        <v/>
      </c>
      <c r="AA1499">
        <f>IF(Z1499="","",IF(MATCH(SUBSTITUTE(SUBSTITUTE(SUBSTITUTE(Z1499,"~","~~"),"*","~*"),"?","~?"),$Z$5:$Z$5004,0)=1495,MAX($AA$4:AA1498)+1,""))</f>
        <v/>
      </c>
    </row>
    <row r="1500" spans="1:27">
      <c r="A1500" s="9"/>
      <c r="Z1500">
        <f>TRIM(A1500&amp;"")</f>
        <v/>
      </c>
      <c r="AA1500">
        <f>IF(Z1500="","",IF(MATCH(SUBSTITUTE(SUBSTITUTE(SUBSTITUTE(Z1500,"~","~~"),"*","~*"),"?","~?"),$Z$5:$Z$5004,0)=1496,MAX($AA$4:AA1499)+1,""))</f>
        <v/>
      </c>
    </row>
    <row r="1501" spans="1:27">
      <c r="A1501" s="9"/>
      <c r="Z1501">
        <f>TRIM(A1501&amp;"")</f>
        <v/>
      </c>
      <c r="AA1501">
        <f>IF(Z1501="","",IF(MATCH(SUBSTITUTE(SUBSTITUTE(SUBSTITUTE(Z1501,"~","~~"),"*","~*"),"?","~?"),$Z$5:$Z$5004,0)=1497,MAX($AA$4:AA1500)+1,""))</f>
        <v/>
      </c>
    </row>
    <row r="1502" spans="1:27">
      <c r="A1502" s="9"/>
      <c r="Z1502">
        <f>TRIM(A1502&amp;"")</f>
        <v/>
      </c>
      <c r="AA1502">
        <f>IF(Z1502="","",IF(MATCH(SUBSTITUTE(SUBSTITUTE(SUBSTITUTE(Z1502,"~","~~"),"*","~*"),"?","~?"),$Z$5:$Z$5004,0)=1498,MAX($AA$4:AA1501)+1,""))</f>
        <v/>
      </c>
    </row>
    <row r="1503" spans="1:27">
      <c r="A1503" s="9"/>
      <c r="Z1503">
        <f>TRIM(A1503&amp;"")</f>
        <v/>
      </c>
      <c r="AA1503">
        <f>IF(Z1503="","",IF(MATCH(SUBSTITUTE(SUBSTITUTE(SUBSTITUTE(Z1503,"~","~~"),"*","~*"),"?","~?"),$Z$5:$Z$5004,0)=1499,MAX($AA$4:AA1502)+1,""))</f>
        <v/>
      </c>
    </row>
    <row r="1504" spans="1:27">
      <c r="A1504" s="9"/>
      <c r="Z1504">
        <f>TRIM(A1504&amp;"")</f>
        <v/>
      </c>
      <c r="AA1504">
        <f>IF(Z1504="","",IF(MATCH(SUBSTITUTE(SUBSTITUTE(SUBSTITUTE(Z1504,"~","~~"),"*","~*"),"?","~?"),$Z$5:$Z$5004,0)=1500,MAX($AA$4:AA1503)+1,""))</f>
        <v/>
      </c>
    </row>
    <row r="1505" spans="1:27">
      <c r="A1505" s="9"/>
      <c r="Z1505">
        <f>TRIM(A1505&amp;"")</f>
        <v/>
      </c>
      <c r="AA1505">
        <f>IF(Z1505="","",IF(MATCH(SUBSTITUTE(SUBSTITUTE(SUBSTITUTE(Z1505,"~","~~"),"*","~*"),"?","~?"),$Z$5:$Z$5004,0)=1501,MAX($AA$4:AA1504)+1,""))</f>
        <v/>
      </c>
    </row>
    <row r="1506" spans="1:27">
      <c r="A1506" s="9"/>
      <c r="Z1506">
        <f>TRIM(A1506&amp;"")</f>
        <v/>
      </c>
      <c r="AA1506">
        <f>IF(Z1506="","",IF(MATCH(SUBSTITUTE(SUBSTITUTE(SUBSTITUTE(Z1506,"~","~~"),"*","~*"),"?","~?"),$Z$5:$Z$5004,0)=1502,MAX($AA$4:AA1505)+1,""))</f>
        <v/>
      </c>
    </row>
    <row r="1507" spans="1:27">
      <c r="A1507" s="9"/>
      <c r="Z1507">
        <f>TRIM(A1507&amp;"")</f>
        <v/>
      </c>
      <c r="AA1507">
        <f>IF(Z1507="","",IF(MATCH(SUBSTITUTE(SUBSTITUTE(SUBSTITUTE(Z1507,"~","~~"),"*","~*"),"?","~?"),$Z$5:$Z$5004,0)=1503,MAX($AA$4:AA1506)+1,""))</f>
        <v/>
      </c>
    </row>
    <row r="1508" spans="1:27">
      <c r="A1508" s="9"/>
      <c r="Z1508">
        <f>TRIM(A1508&amp;"")</f>
        <v/>
      </c>
      <c r="AA1508">
        <f>IF(Z1508="","",IF(MATCH(SUBSTITUTE(SUBSTITUTE(SUBSTITUTE(Z1508,"~","~~"),"*","~*"),"?","~?"),$Z$5:$Z$5004,0)=1504,MAX($AA$4:AA1507)+1,""))</f>
        <v/>
      </c>
    </row>
    <row r="1509" spans="1:27">
      <c r="A1509" s="9"/>
      <c r="Z1509">
        <f>TRIM(A1509&amp;"")</f>
        <v/>
      </c>
      <c r="AA1509">
        <f>IF(Z1509="","",IF(MATCH(SUBSTITUTE(SUBSTITUTE(SUBSTITUTE(Z1509,"~","~~"),"*","~*"),"?","~?"),$Z$5:$Z$5004,0)=1505,MAX($AA$4:AA1508)+1,""))</f>
        <v/>
      </c>
    </row>
    <row r="1510" spans="1:27">
      <c r="A1510" s="9"/>
      <c r="Z1510">
        <f>TRIM(A1510&amp;"")</f>
        <v/>
      </c>
      <c r="AA1510">
        <f>IF(Z1510="","",IF(MATCH(SUBSTITUTE(SUBSTITUTE(SUBSTITUTE(Z1510,"~","~~"),"*","~*"),"?","~?"),$Z$5:$Z$5004,0)=1506,MAX($AA$4:AA1509)+1,""))</f>
        <v/>
      </c>
    </row>
    <row r="1511" spans="1:27">
      <c r="A1511" s="9"/>
      <c r="Z1511">
        <f>TRIM(A1511&amp;"")</f>
        <v/>
      </c>
      <c r="AA1511">
        <f>IF(Z1511="","",IF(MATCH(SUBSTITUTE(SUBSTITUTE(SUBSTITUTE(Z1511,"~","~~"),"*","~*"),"?","~?"),$Z$5:$Z$5004,0)=1507,MAX($AA$4:AA1510)+1,""))</f>
        <v/>
      </c>
    </row>
    <row r="1512" spans="1:27">
      <c r="A1512" s="9"/>
      <c r="Z1512">
        <f>TRIM(A1512&amp;"")</f>
        <v/>
      </c>
      <c r="AA1512">
        <f>IF(Z1512="","",IF(MATCH(SUBSTITUTE(SUBSTITUTE(SUBSTITUTE(Z1512,"~","~~"),"*","~*"),"?","~?"),$Z$5:$Z$5004,0)=1508,MAX($AA$4:AA1511)+1,""))</f>
        <v/>
      </c>
    </row>
    <row r="1513" spans="1:27">
      <c r="A1513" s="9"/>
      <c r="Z1513">
        <f>TRIM(A1513&amp;"")</f>
        <v/>
      </c>
      <c r="AA1513">
        <f>IF(Z1513="","",IF(MATCH(SUBSTITUTE(SUBSTITUTE(SUBSTITUTE(Z1513,"~","~~"),"*","~*"),"?","~?"),$Z$5:$Z$5004,0)=1509,MAX($AA$4:AA1512)+1,""))</f>
        <v/>
      </c>
    </row>
    <row r="1514" spans="1:27">
      <c r="A1514" s="9"/>
      <c r="Z1514">
        <f>TRIM(A1514&amp;"")</f>
        <v/>
      </c>
      <c r="AA1514">
        <f>IF(Z1514="","",IF(MATCH(SUBSTITUTE(SUBSTITUTE(SUBSTITUTE(Z1514,"~","~~"),"*","~*"),"?","~?"),$Z$5:$Z$5004,0)=1510,MAX($AA$4:AA1513)+1,""))</f>
        <v/>
      </c>
    </row>
    <row r="1515" spans="1:27">
      <c r="A1515" s="9"/>
      <c r="Z1515">
        <f>TRIM(A1515&amp;"")</f>
        <v/>
      </c>
      <c r="AA1515">
        <f>IF(Z1515="","",IF(MATCH(SUBSTITUTE(SUBSTITUTE(SUBSTITUTE(Z1515,"~","~~"),"*","~*"),"?","~?"),$Z$5:$Z$5004,0)=1511,MAX($AA$4:AA1514)+1,""))</f>
        <v/>
      </c>
    </row>
    <row r="1516" spans="1:27">
      <c r="A1516" s="9"/>
      <c r="Z1516">
        <f>TRIM(A1516&amp;"")</f>
        <v/>
      </c>
      <c r="AA1516">
        <f>IF(Z1516="","",IF(MATCH(SUBSTITUTE(SUBSTITUTE(SUBSTITUTE(Z1516,"~","~~"),"*","~*"),"?","~?"),$Z$5:$Z$5004,0)=1512,MAX($AA$4:AA1515)+1,""))</f>
        <v/>
      </c>
    </row>
    <row r="1517" spans="1:27">
      <c r="A1517" s="9"/>
      <c r="Z1517">
        <f>TRIM(A1517&amp;"")</f>
        <v/>
      </c>
      <c r="AA1517">
        <f>IF(Z1517="","",IF(MATCH(SUBSTITUTE(SUBSTITUTE(SUBSTITUTE(Z1517,"~","~~"),"*","~*"),"?","~?"),$Z$5:$Z$5004,0)=1513,MAX($AA$4:AA1516)+1,""))</f>
        <v/>
      </c>
    </row>
    <row r="1518" spans="1:27">
      <c r="A1518" s="9"/>
      <c r="Z1518">
        <f>TRIM(A1518&amp;"")</f>
        <v/>
      </c>
      <c r="AA1518">
        <f>IF(Z1518="","",IF(MATCH(SUBSTITUTE(SUBSTITUTE(SUBSTITUTE(Z1518,"~","~~"),"*","~*"),"?","~?"),$Z$5:$Z$5004,0)=1514,MAX($AA$4:AA1517)+1,""))</f>
        <v/>
      </c>
    </row>
    <row r="1519" spans="1:27">
      <c r="A1519" s="9"/>
      <c r="Z1519">
        <f>TRIM(A1519&amp;"")</f>
        <v/>
      </c>
      <c r="AA1519">
        <f>IF(Z1519="","",IF(MATCH(SUBSTITUTE(SUBSTITUTE(SUBSTITUTE(Z1519,"~","~~"),"*","~*"),"?","~?"),$Z$5:$Z$5004,0)=1515,MAX($AA$4:AA1518)+1,""))</f>
        <v/>
      </c>
    </row>
    <row r="1520" spans="1:27">
      <c r="A1520" s="9"/>
      <c r="Z1520">
        <f>TRIM(A1520&amp;"")</f>
        <v/>
      </c>
      <c r="AA1520">
        <f>IF(Z1520="","",IF(MATCH(SUBSTITUTE(SUBSTITUTE(SUBSTITUTE(Z1520,"~","~~"),"*","~*"),"?","~?"),$Z$5:$Z$5004,0)=1516,MAX($AA$4:AA1519)+1,""))</f>
        <v/>
      </c>
    </row>
    <row r="1521" spans="1:27">
      <c r="A1521" s="9"/>
      <c r="Z1521">
        <f>TRIM(A1521&amp;"")</f>
        <v/>
      </c>
      <c r="AA1521">
        <f>IF(Z1521="","",IF(MATCH(SUBSTITUTE(SUBSTITUTE(SUBSTITUTE(Z1521,"~","~~"),"*","~*"),"?","~?"),$Z$5:$Z$5004,0)=1517,MAX($AA$4:AA1520)+1,""))</f>
        <v/>
      </c>
    </row>
    <row r="1522" spans="1:27">
      <c r="A1522" s="9"/>
      <c r="Z1522">
        <f>TRIM(A1522&amp;"")</f>
        <v/>
      </c>
      <c r="AA1522">
        <f>IF(Z1522="","",IF(MATCH(SUBSTITUTE(SUBSTITUTE(SUBSTITUTE(Z1522,"~","~~"),"*","~*"),"?","~?"),$Z$5:$Z$5004,0)=1518,MAX($AA$4:AA1521)+1,""))</f>
        <v/>
      </c>
    </row>
    <row r="1523" spans="1:27">
      <c r="A1523" s="9"/>
      <c r="Z1523">
        <f>TRIM(A1523&amp;"")</f>
        <v/>
      </c>
      <c r="AA1523">
        <f>IF(Z1523="","",IF(MATCH(SUBSTITUTE(SUBSTITUTE(SUBSTITUTE(Z1523,"~","~~"),"*","~*"),"?","~?"),$Z$5:$Z$5004,0)=1519,MAX($AA$4:AA1522)+1,""))</f>
        <v/>
      </c>
    </row>
    <row r="1524" spans="1:27">
      <c r="A1524" s="9"/>
      <c r="Z1524">
        <f>TRIM(A1524&amp;"")</f>
        <v/>
      </c>
      <c r="AA1524">
        <f>IF(Z1524="","",IF(MATCH(SUBSTITUTE(SUBSTITUTE(SUBSTITUTE(Z1524,"~","~~"),"*","~*"),"?","~?"),$Z$5:$Z$5004,0)=1520,MAX($AA$4:AA1523)+1,""))</f>
        <v/>
      </c>
    </row>
    <row r="1525" spans="1:27">
      <c r="A1525" s="9"/>
      <c r="Z1525">
        <f>TRIM(A1525&amp;"")</f>
        <v/>
      </c>
      <c r="AA1525">
        <f>IF(Z1525="","",IF(MATCH(SUBSTITUTE(SUBSTITUTE(SUBSTITUTE(Z1525,"~","~~"),"*","~*"),"?","~?"),$Z$5:$Z$5004,0)=1521,MAX($AA$4:AA1524)+1,""))</f>
        <v/>
      </c>
    </row>
    <row r="1526" spans="1:27">
      <c r="A1526" s="9"/>
      <c r="Z1526">
        <f>TRIM(A1526&amp;"")</f>
        <v/>
      </c>
      <c r="AA1526">
        <f>IF(Z1526="","",IF(MATCH(SUBSTITUTE(SUBSTITUTE(SUBSTITUTE(Z1526,"~","~~"),"*","~*"),"?","~?"),$Z$5:$Z$5004,0)=1522,MAX($AA$4:AA1525)+1,""))</f>
        <v/>
      </c>
    </row>
    <row r="1527" spans="1:27">
      <c r="A1527" s="9"/>
      <c r="Z1527">
        <f>TRIM(A1527&amp;"")</f>
        <v/>
      </c>
      <c r="AA1527">
        <f>IF(Z1527="","",IF(MATCH(SUBSTITUTE(SUBSTITUTE(SUBSTITUTE(Z1527,"~","~~"),"*","~*"),"?","~?"),$Z$5:$Z$5004,0)=1523,MAX($AA$4:AA1526)+1,""))</f>
        <v/>
      </c>
    </row>
    <row r="1528" spans="1:27">
      <c r="A1528" s="9"/>
      <c r="Z1528">
        <f>TRIM(A1528&amp;"")</f>
        <v/>
      </c>
      <c r="AA1528">
        <f>IF(Z1528="","",IF(MATCH(SUBSTITUTE(SUBSTITUTE(SUBSTITUTE(Z1528,"~","~~"),"*","~*"),"?","~?"),$Z$5:$Z$5004,0)=1524,MAX($AA$4:AA1527)+1,""))</f>
        <v/>
      </c>
    </row>
    <row r="1529" spans="1:27">
      <c r="A1529" s="9"/>
      <c r="Z1529">
        <f>TRIM(A1529&amp;"")</f>
        <v/>
      </c>
      <c r="AA1529">
        <f>IF(Z1529="","",IF(MATCH(SUBSTITUTE(SUBSTITUTE(SUBSTITUTE(Z1529,"~","~~"),"*","~*"),"?","~?"),$Z$5:$Z$5004,0)=1525,MAX($AA$4:AA1528)+1,""))</f>
        <v/>
      </c>
    </row>
    <row r="1530" spans="1:27">
      <c r="A1530" s="9"/>
      <c r="Z1530">
        <f>TRIM(A1530&amp;"")</f>
        <v/>
      </c>
      <c r="AA1530">
        <f>IF(Z1530="","",IF(MATCH(SUBSTITUTE(SUBSTITUTE(SUBSTITUTE(Z1530,"~","~~"),"*","~*"),"?","~?"),$Z$5:$Z$5004,0)=1526,MAX($AA$4:AA1529)+1,""))</f>
        <v/>
      </c>
    </row>
    <row r="1531" spans="1:27">
      <c r="A1531" s="9"/>
      <c r="Z1531">
        <f>TRIM(A1531&amp;"")</f>
        <v/>
      </c>
      <c r="AA1531">
        <f>IF(Z1531="","",IF(MATCH(SUBSTITUTE(SUBSTITUTE(SUBSTITUTE(Z1531,"~","~~"),"*","~*"),"?","~?"),$Z$5:$Z$5004,0)=1527,MAX($AA$4:AA1530)+1,""))</f>
        <v/>
      </c>
    </row>
    <row r="1532" spans="1:27">
      <c r="A1532" s="9"/>
      <c r="Z1532">
        <f>TRIM(A1532&amp;"")</f>
        <v/>
      </c>
      <c r="AA1532">
        <f>IF(Z1532="","",IF(MATCH(SUBSTITUTE(SUBSTITUTE(SUBSTITUTE(Z1532,"~","~~"),"*","~*"),"?","~?"),$Z$5:$Z$5004,0)=1528,MAX($AA$4:AA1531)+1,""))</f>
        <v/>
      </c>
    </row>
    <row r="1533" spans="1:27">
      <c r="A1533" s="9"/>
      <c r="Z1533">
        <f>TRIM(A1533&amp;"")</f>
        <v/>
      </c>
      <c r="AA1533">
        <f>IF(Z1533="","",IF(MATCH(SUBSTITUTE(SUBSTITUTE(SUBSTITUTE(Z1533,"~","~~"),"*","~*"),"?","~?"),$Z$5:$Z$5004,0)=1529,MAX($AA$4:AA1532)+1,""))</f>
        <v/>
      </c>
    </row>
    <row r="1534" spans="1:27">
      <c r="A1534" s="9"/>
      <c r="Z1534">
        <f>TRIM(A1534&amp;"")</f>
        <v/>
      </c>
      <c r="AA1534">
        <f>IF(Z1534="","",IF(MATCH(SUBSTITUTE(SUBSTITUTE(SUBSTITUTE(Z1534,"~","~~"),"*","~*"),"?","~?"),$Z$5:$Z$5004,0)=1530,MAX($AA$4:AA1533)+1,""))</f>
        <v/>
      </c>
    </row>
    <row r="1535" spans="1:27">
      <c r="A1535" s="9"/>
      <c r="Z1535">
        <f>TRIM(A1535&amp;"")</f>
        <v/>
      </c>
      <c r="AA1535">
        <f>IF(Z1535="","",IF(MATCH(SUBSTITUTE(SUBSTITUTE(SUBSTITUTE(Z1535,"~","~~"),"*","~*"),"?","~?"),$Z$5:$Z$5004,0)=1531,MAX($AA$4:AA1534)+1,""))</f>
        <v/>
      </c>
    </row>
    <row r="1536" spans="1:27">
      <c r="A1536" s="9"/>
      <c r="Z1536">
        <f>TRIM(A1536&amp;"")</f>
        <v/>
      </c>
      <c r="AA1536">
        <f>IF(Z1536="","",IF(MATCH(SUBSTITUTE(SUBSTITUTE(SUBSTITUTE(Z1536,"~","~~"),"*","~*"),"?","~?"),$Z$5:$Z$5004,0)=1532,MAX($AA$4:AA1535)+1,""))</f>
        <v/>
      </c>
    </row>
    <row r="1537" spans="1:27">
      <c r="A1537" s="9"/>
      <c r="Z1537">
        <f>TRIM(A1537&amp;"")</f>
        <v/>
      </c>
      <c r="AA1537">
        <f>IF(Z1537="","",IF(MATCH(SUBSTITUTE(SUBSTITUTE(SUBSTITUTE(Z1537,"~","~~"),"*","~*"),"?","~?"),$Z$5:$Z$5004,0)=1533,MAX($AA$4:AA1536)+1,""))</f>
        <v/>
      </c>
    </row>
    <row r="1538" spans="1:27">
      <c r="A1538" s="9"/>
      <c r="Z1538">
        <f>TRIM(A1538&amp;"")</f>
        <v/>
      </c>
      <c r="AA1538">
        <f>IF(Z1538="","",IF(MATCH(SUBSTITUTE(SUBSTITUTE(SUBSTITUTE(Z1538,"~","~~"),"*","~*"),"?","~?"),$Z$5:$Z$5004,0)=1534,MAX($AA$4:AA1537)+1,""))</f>
        <v/>
      </c>
    </row>
    <row r="1539" spans="1:27">
      <c r="A1539" s="9"/>
      <c r="Z1539">
        <f>TRIM(A1539&amp;"")</f>
        <v/>
      </c>
      <c r="AA1539">
        <f>IF(Z1539="","",IF(MATCH(SUBSTITUTE(SUBSTITUTE(SUBSTITUTE(Z1539,"~","~~"),"*","~*"),"?","~?"),$Z$5:$Z$5004,0)=1535,MAX($AA$4:AA1538)+1,""))</f>
        <v/>
      </c>
    </row>
    <row r="1540" spans="1:27">
      <c r="A1540" s="9"/>
      <c r="Z1540">
        <f>TRIM(A1540&amp;"")</f>
        <v/>
      </c>
      <c r="AA1540">
        <f>IF(Z1540="","",IF(MATCH(SUBSTITUTE(SUBSTITUTE(SUBSTITUTE(Z1540,"~","~~"),"*","~*"),"?","~?"),$Z$5:$Z$5004,0)=1536,MAX($AA$4:AA1539)+1,""))</f>
        <v/>
      </c>
    </row>
    <row r="1541" spans="1:27">
      <c r="A1541" s="9"/>
      <c r="Z1541">
        <f>TRIM(A1541&amp;"")</f>
        <v/>
      </c>
      <c r="AA1541">
        <f>IF(Z1541="","",IF(MATCH(SUBSTITUTE(SUBSTITUTE(SUBSTITUTE(Z1541,"~","~~"),"*","~*"),"?","~?"),$Z$5:$Z$5004,0)=1537,MAX($AA$4:AA1540)+1,""))</f>
        <v/>
      </c>
    </row>
    <row r="1542" spans="1:27">
      <c r="A1542" s="9"/>
      <c r="Z1542">
        <f>TRIM(A1542&amp;"")</f>
        <v/>
      </c>
      <c r="AA1542">
        <f>IF(Z1542="","",IF(MATCH(SUBSTITUTE(SUBSTITUTE(SUBSTITUTE(Z1542,"~","~~"),"*","~*"),"?","~?"),$Z$5:$Z$5004,0)=1538,MAX($AA$4:AA1541)+1,""))</f>
        <v/>
      </c>
    </row>
    <row r="1543" spans="1:27">
      <c r="A1543" s="9"/>
      <c r="Z1543">
        <f>TRIM(A1543&amp;"")</f>
        <v/>
      </c>
      <c r="AA1543">
        <f>IF(Z1543="","",IF(MATCH(SUBSTITUTE(SUBSTITUTE(SUBSTITUTE(Z1543,"~","~~"),"*","~*"),"?","~?"),$Z$5:$Z$5004,0)=1539,MAX($AA$4:AA1542)+1,""))</f>
        <v/>
      </c>
    </row>
    <row r="1544" spans="1:27">
      <c r="A1544" s="9"/>
      <c r="Z1544">
        <f>TRIM(A1544&amp;"")</f>
        <v/>
      </c>
      <c r="AA1544">
        <f>IF(Z1544="","",IF(MATCH(SUBSTITUTE(SUBSTITUTE(SUBSTITUTE(Z1544,"~","~~"),"*","~*"),"?","~?"),$Z$5:$Z$5004,0)=1540,MAX($AA$4:AA1543)+1,""))</f>
        <v/>
      </c>
    </row>
    <row r="1545" spans="1:27">
      <c r="A1545" s="9"/>
      <c r="Z1545">
        <f>TRIM(A1545&amp;"")</f>
        <v/>
      </c>
      <c r="AA1545">
        <f>IF(Z1545="","",IF(MATCH(SUBSTITUTE(SUBSTITUTE(SUBSTITUTE(Z1545,"~","~~"),"*","~*"),"?","~?"),$Z$5:$Z$5004,0)=1541,MAX($AA$4:AA1544)+1,""))</f>
        <v/>
      </c>
    </row>
    <row r="1546" spans="1:27">
      <c r="A1546" s="9"/>
      <c r="Z1546">
        <f>TRIM(A1546&amp;"")</f>
        <v/>
      </c>
      <c r="AA1546">
        <f>IF(Z1546="","",IF(MATCH(SUBSTITUTE(SUBSTITUTE(SUBSTITUTE(Z1546,"~","~~"),"*","~*"),"?","~?"),$Z$5:$Z$5004,0)=1542,MAX($AA$4:AA1545)+1,""))</f>
        <v/>
      </c>
    </row>
    <row r="1547" spans="1:27">
      <c r="A1547" s="9"/>
      <c r="Z1547">
        <f>TRIM(A1547&amp;"")</f>
        <v/>
      </c>
      <c r="AA1547">
        <f>IF(Z1547="","",IF(MATCH(SUBSTITUTE(SUBSTITUTE(SUBSTITUTE(Z1547,"~","~~"),"*","~*"),"?","~?"),$Z$5:$Z$5004,0)=1543,MAX($AA$4:AA1546)+1,""))</f>
        <v/>
      </c>
    </row>
    <row r="1548" spans="1:27">
      <c r="A1548" s="9"/>
      <c r="Z1548">
        <f>TRIM(A1548&amp;"")</f>
        <v/>
      </c>
      <c r="AA1548">
        <f>IF(Z1548="","",IF(MATCH(SUBSTITUTE(SUBSTITUTE(SUBSTITUTE(Z1548,"~","~~"),"*","~*"),"?","~?"),$Z$5:$Z$5004,0)=1544,MAX($AA$4:AA1547)+1,""))</f>
        <v/>
      </c>
    </row>
    <row r="1549" spans="1:27">
      <c r="A1549" s="9"/>
      <c r="Z1549">
        <f>TRIM(A1549&amp;"")</f>
        <v/>
      </c>
      <c r="AA1549">
        <f>IF(Z1549="","",IF(MATCH(SUBSTITUTE(SUBSTITUTE(SUBSTITUTE(Z1549,"~","~~"),"*","~*"),"?","~?"),$Z$5:$Z$5004,0)=1545,MAX($AA$4:AA1548)+1,""))</f>
        <v/>
      </c>
    </row>
    <row r="1550" spans="1:27">
      <c r="A1550" s="9"/>
      <c r="Z1550">
        <f>TRIM(A1550&amp;"")</f>
        <v/>
      </c>
      <c r="AA1550">
        <f>IF(Z1550="","",IF(MATCH(SUBSTITUTE(SUBSTITUTE(SUBSTITUTE(Z1550,"~","~~"),"*","~*"),"?","~?"),$Z$5:$Z$5004,0)=1546,MAX($AA$4:AA1549)+1,""))</f>
        <v/>
      </c>
    </row>
    <row r="1551" spans="1:27">
      <c r="A1551" s="9"/>
      <c r="Z1551">
        <f>TRIM(A1551&amp;"")</f>
        <v/>
      </c>
      <c r="AA1551">
        <f>IF(Z1551="","",IF(MATCH(SUBSTITUTE(SUBSTITUTE(SUBSTITUTE(Z1551,"~","~~"),"*","~*"),"?","~?"),$Z$5:$Z$5004,0)=1547,MAX($AA$4:AA1550)+1,""))</f>
        <v/>
      </c>
    </row>
    <row r="1552" spans="1:27">
      <c r="A1552" s="9"/>
      <c r="Z1552">
        <f>TRIM(A1552&amp;"")</f>
        <v/>
      </c>
      <c r="AA1552">
        <f>IF(Z1552="","",IF(MATCH(SUBSTITUTE(SUBSTITUTE(SUBSTITUTE(Z1552,"~","~~"),"*","~*"),"?","~?"),$Z$5:$Z$5004,0)=1548,MAX($AA$4:AA1551)+1,""))</f>
        <v/>
      </c>
    </row>
    <row r="1553" spans="1:27">
      <c r="A1553" s="9"/>
      <c r="Z1553">
        <f>TRIM(A1553&amp;"")</f>
        <v/>
      </c>
      <c r="AA1553">
        <f>IF(Z1553="","",IF(MATCH(SUBSTITUTE(SUBSTITUTE(SUBSTITUTE(Z1553,"~","~~"),"*","~*"),"?","~?"),$Z$5:$Z$5004,0)=1549,MAX($AA$4:AA1552)+1,""))</f>
        <v/>
      </c>
    </row>
    <row r="1554" spans="1:27">
      <c r="A1554" s="9"/>
      <c r="Z1554">
        <f>TRIM(A1554&amp;"")</f>
        <v/>
      </c>
      <c r="AA1554">
        <f>IF(Z1554="","",IF(MATCH(SUBSTITUTE(SUBSTITUTE(SUBSTITUTE(Z1554,"~","~~"),"*","~*"),"?","~?"),$Z$5:$Z$5004,0)=1550,MAX($AA$4:AA1553)+1,""))</f>
        <v/>
      </c>
    </row>
    <row r="1555" spans="1:27">
      <c r="A1555" s="9"/>
      <c r="Z1555">
        <f>TRIM(A1555&amp;"")</f>
        <v/>
      </c>
      <c r="AA1555">
        <f>IF(Z1555="","",IF(MATCH(SUBSTITUTE(SUBSTITUTE(SUBSTITUTE(Z1555,"~","~~"),"*","~*"),"?","~?"),$Z$5:$Z$5004,0)=1551,MAX($AA$4:AA1554)+1,""))</f>
        <v/>
      </c>
    </row>
    <row r="1556" spans="1:27">
      <c r="A1556" s="9"/>
      <c r="Z1556">
        <f>TRIM(A1556&amp;"")</f>
        <v/>
      </c>
      <c r="AA1556">
        <f>IF(Z1556="","",IF(MATCH(SUBSTITUTE(SUBSTITUTE(SUBSTITUTE(Z1556,"~","~~"),"*","~*"),"?","~?"),$Z$5:$Z$5004,0)=1552,MAX($AA$4:AA1555)+1,""))</f>
        <v/>
      </c>
    </row>
    <row r="1557" spans="1:27">
      <c r="A1557" s="9"/>
      <c r="Z1557">
        <f>TRIM(A1557&amp;"")</f>
        <v/>
      </c>
      <c r="AA1557">
        <f>IF(Z1557="","",IF(MATCH(SUBSTITUTE(SUBSTITUTE(SUBSTITUTE(Z1557,"~","~~"),"*","~*"),"?","~?"),$Z$5:$Z$5004,0)=1553,MAX($AA$4:AA1556)+1,""))</f>
        <v/>
      </c>
    </row>
    <row r="1558" spans="1:27">
      <c r="A1558" s="9"/>
      <c r="Z1558">
        <f>TRIM(A1558&amp;"")</f>
        <v/>
      </c>
      <c r="AA1558">
        <f>IF(Z1558="","",IF(MATCH(SUBSTITUTE(SUBSTITUTE(SUBSTITUTE(Z1558,"~","~~"),"*","~*"),"?","~?"),$Z$5:$Z$5004,0)=1554,MAX($AA$4:AA1557)+1,""))</f>
        <v/>
      </c>
    </row>
    <row r="1559" spans="1:27">
      <c r="A1559" s="9"/>
      <c r="Z1559">
        <f>TRIM(A1559&amp;"")</f>
        <v/>
      </c>
      <c r="AA1559">
        <f>IF(Z1559="","",IF(MATCH(SUBSTITUTE(SUBSTITUTE(SUBSTITUTE(Z1559,"~","~~"),"*","~*"),"?","~?"),$Z$5:$Z$5004,0)=1555,MAX($AA$4:AA1558)+1,""))</f>
        <v/>
      </c>
    </row>
    <row r="1560" spans="1:27">
      <c r="A1560" s="9"/>
      <c r="Z1560">
        <f>TRIM(A1560&amp;"")</f>
        <v/>
      </c>
      <c r="AA1560">
        <f>IF(Z1560="","",IF(MATCH(SUBSTITUTE(SUBSTITUTE(SUBSTITUTE(Z1560,"~","~~"),"*","~*"),"?","~?"),$Z$5:$Z$5004,0)=1556,MAX($AA$4:AA1559)+1,""))</f>
        <v/>
      </c>
    </row>
    <row r="1561" spans="1:27">
      <c r="A1561" s="9"/>
      <c r="Z1561">
        <f>TRIM(A1561&amp;"")</f>
        <v/>
      </c>
      <c r="AA1561">
        <f>IF(Z1561="","",IF(MATCH(SUBSTITUTE(SUBSTITUTE(SUBSTITUTE(Z1561,"~","~~"),"*","~*"),"?","~?"),$Z$5:$Z$5004,0)=1557,MAX($AA$4:AA1560)+1,""))</f>
        <v/>
      </c>
    </row>
    <row r="1562" spans="1:27">
      <c r="A1562" s="9"/>
      <c r="Z1562">
        <f>TRIM(A1562&amp;"")</f>
        <v/>
      </c>
      <c r="AA1562">
        <f>IF(Z1562="","",IF(MATCH(SUBSTITUTE(SUBSTITUTE(SUBSTITUTE(Z1562,"~","~~"),"*","~*"),"?","~?"),$Z$5:$Z$5004,0)=1558,MAX($AA$4:AA1561)+1,""))</f>
        <v/>
      </c>
    </row>
    <row r="1563" spans="1:27">
      <c r="A1563" s="9"/>
      <c r="Z1563">
        <f>TRIM(A1563&amp;"")</f>
        <v/>
      </c>
      <c r="AA1563">
        <f>IF(Z1563="","",IF(MATCH(SUBSTITUTE(SUBSTITUTE(SUBSTITUTE(Z1563,"~","~~"),"*","~*"),"?","~?"),$Z$5:$Z$5004,0)=1559,MAX($AA$4:AA1562)+1,""))</f>
        <v/>
      </c>
    </row>
    <row r="1564" spans="1:27">
      <c r="A1564" s="9"/>
      <c r="Z1564">
        <f>TRIM(A1564&amp;"")</f>
        <v/>
      </c>
      <c r="AA1564">
        <f>IF(Z1564="","",IF(MATCH(SUBSTITUTE(SUBSTITUTE(SUBSTITUTE(Z1564,"~","~~"),"*","~*"),"?","~?"),$Z$5:$Z$5004,0)=1560,MAX($AA$4:AA1563)+1,""))</f>
        <v/>
      </c>
    </row>
    <row r="1565" spans="1:27">
      <c r="A1565" s="9"/>
      <c r="Z1565">
        <f>TRIM(A1565&amp;"")</f>
        <v/>
      </c>
      <c r="AA1565">
        <f>IF(Z1565="","",IF(MATCH(SUBSTITUTE(SUBSTITUTE(SUBSTITUTE(Z1565,"~","~~"),"*","~*"),"?","~?"),$Z$5:$Z$5004,0)=1561,MAX($AA$4:AA1564)+1,""))</f>
        <v/>
      </c>
    </row>
    <row r="1566" spans="1:27">
      <c r="A1566" s="9"/>
      <c r="Z1566">
        <f>TRIM(A1566&amp;"")</f>
        <v/>
      </c>
      <c r="AA1566">
        <f>IF(Z1566="","",IF(MATCH(SUBSTITUTE(SUBSTITUTE(SUBSTITUTE(Z1566,"~","~~"),"*","~*"),"?","~?"),$Z$5:$Z$5004,0)=1562,MAX($AA$4:AA1565)+1,""))</f>
        <v/>
      </c>
    </row>
    <row r="1567" spans="1:27">
      <c r="A1567" s="9"/>
      <c r="Z1567">
        <f>TRIM(A1567&amp;"")</f>
        <v/>
      </c>
      <c r="AA1567">
        <f>IF(Z1567="","",IF(MATCH(SUBSTITUTE(SUBSTITUTE(SUBSTITUTE(Z1567,"~","~~"),"*","~*"),"?","~?"),$Z$5:$Z$5004,0)=1563,MAX($AA$4:AA1566)+1,""))</f>
        <v/>
      </c>
    </row>
    <row r="1568" spans="1:27">
      <c r="A1568" s="9"/>
      <c r="Z1568">
        <f>TRIM(A1568&amp;"")</f>
        <v/>
      </c>
      <c r="AA1568">
        <f>IF(Z1568="","",IF(MATCH(SUBSTITUTE(SUBSTITUTE(SUBSTITUTE(Z1568,"~","~~"),"*","~*"),"?","~?"),$Z$5:$Z$5004,0)=1564,MAX($AA$4:AA1567)+1,""))</f>
        <v/>
      </c>
    </row>
    <row r="1569" spans="1:27">
      <c r="A1569" s="9"/>
      <c r="Z1569">
        <f>TRIM(A1569&amp;"")</f>
        <v/>
      </c>
      <c r="AA1569">
        <f>IF(Z1569="","",IF(MATCH(SUBSTITUTE(SUBSTITUTE(SUBSTITUTE(Z1569,"~","~~"),"*","~*"),"?","~?"),$Z$5:$Z$5004,0)=1565,MAX($AA$4:AA1568)+1,""))</f>
        <v/>
      </c>
    </row>
    <row r="1570" spans="1:27">
      <c r="A1570" s="9"/>
      <c r="Z1570">
        <f>TRIM(A1570&amp;"")</f>
        <v/>
      </c>
      <c r="AA1570">
        <f>IF(Z1570="","",IF(MATCH(SUBSTITUTE(SUBSTITUTE(SUBSTITUTE(Z1570,"~","~~"),"*","~*"),"?","~?"),$Z$5:$Z$5004,0)=1566,MAX($AA$4:AA1569)+1,""))</f>
        <v/>
      </c>
    </row>
    <row r="1571" spans="1:27">
      <c r="A1571" s="9"/>
      <c r="Z1571">
        <f>TRIM(A1571&amp;"")</f>
        <v/>
      </c>
      <c r="AA1571">
        <f>IF(Z1571="","",IF(MATCH(SUBSTITUTE(SUBSTITUTE(SUBSTITUTE(Z1571,"~","~~"),"*","~*"),"?","~?"),$Z$5:$Z$5004,0)=1567,MAX($AA$4:AA1570)+1,""))</f>
        <v/>
      </c>
    </row>
    <row r="1572" spans="1:27">
      <c r="A1572" s="9"/>
      <c r="Z1572">
        <f>TRIM(A1572&amp;"")</f>
        <v/>
      </c>
      <c r="AA1572">
        <f>IF(Z1572="","",IF(MATCH(SUBSTITUTE(SUBSTITUTE(SUBSTITUTE(Z1572,"~","~~"),"*","~*"),"?","~?"),$Z$5:$Z$5004,0)=1568,MAX($AA$4:AA1571)+1,""))</f>
        <v/>
      </c>
    </row>
    <row r="1573" spans="1:27">
      <c r="A1573" s="9"/>
      <c r="Z1573">
        <f>TRIM(A1573&amp;"")</f>
        <v/>
      </c>
      <c r="AA1573">
        <f>IF(Z1573="","",IF(MATCH(SUBSTITUTE(SUBSTITUTE(SUBSTITUTE(Z1573,"~","~~"),"*","~*"),"?","~?"),$Z$5:$Z$5004,0)=1569,MAX($AA$4:AA1572)+1,""))</f>
        <v/>
      </c>
    </row>
    <row r="1574" spans="1:27">
      <c r="A1574" s="9"/>
      <c r="Z1574">
        <f>TRIM(A1574&amp;"")</f>
        <v/>
      </c>
      <c r="AA1574">
        <f>IF(Z1574="","",IF(MATCH(SUBSTITUTE(SUBSTITUTE(SUBSTITUTE(Z1574,"~","~~"),"*","~*"),"?","~?"),$Z$5:$Z$5004,0)=1570,MAX($AA$4:AA1573)+1,""))</f>
        <v/>
      </c>
    </row>
    <row r="1575" spans="1:27">
      <c r="A1575" s="9"/>
      <c r="Z1575">
        <f>TRIM(A1575&amp;"")</f>
        <v/>
      </c>
      <c r="AA1575">
        <f>IF(Z1575="","",IF(MATCH(SUBSTITUTE(SUBSTITUTE(SUBSTITUTE(Z1575,"~","~~"),"*","~*"),"?","~?"),$Z$5:$Z$5004,0)=1571,MAX($AA$4:AA1574)+1,""))</f>
        <v/>
      </c>
    </row>
    <row r="1576" spans="1:27">
      <c r="A1576" s="9"/>
      <c r="Z1576">
        <f>TRIM(A1576&amp;"")</f>
        <v/>
      </c>
      <c r="AA1576">
        <f>IF(Z1576="","",IF(MATCH(SUBSTITUTE(SUBSTITUTE(SUBSTITUTE(Z1576,"~","~~"),"*","~*"),"?","~?"),$Z$5:$Z$5004,0)=1572,MAX($AA$4:AA1575)+1,""))</f>
        <v/>
      </c>
    </row>
    <row r="1577" spans="1:27">
      <c r="A1577" s="9"/>
      <c r="Z1577">
        <f>TRIM(A1577&amp;"")</f>
        <v/>
      </c>
      <c r="AA1577">
        <f>IF(Z1577="","",IF(MATCH(SUBSTITUTE(SUBSTITUTE(SUBSTITUTE(Z1577,"~","~~"),"*","~*"),"?","~?"),$Z$5:$Z$5004,0)=1573,MAX($AA$4:AA1576)+1,""))</f>
        <v/>
      </c>
    </row>
    <row r="1578" spans="1:27">
      <c r="A1578" s="9"/>
      <c r="Z1578">
        <f>TRIM(A1578&amp;"")</f>
        <v/>
      </c>
      <c r="AA1578">
        <f>IF(Z1578="","",IF(MATCH(SUBSTITUTE(SUBSTITUTE(SUBSTITUTE(Z1578,"~","~~"),"*","~*"),"?","~?"),$Z$5:$Z$5004,0)=1574,MAX($AA$4:AA1577)+1,""))</f>
        <v/>
      </c>
    </row>
    <row r="1579" spans="1:27">
      <c r="A1579" s="9"/>
      <c r="Z1579">
        <f>TRIM(A1579&amp;"")</f>
        <v/>
      </c>
      <c r="AA1579">
        <f>IF(Z1579="","",IF(MATCH(SUBSTITUTE(SUBSTITUTE(SUBSTITUTE(Z1579,"~","~~"),"*","~*"),"?","~?"),$Z$5:$Z$5004,0)=1575,MAX($AA$4:AA1578)+1,""))</f>
        <v/>
      </c>
    </row>
    <row r="1580" spans="1:27">
      <c r="A1580" s="9"/>
      <c r="Z1580">
        <f>TRIM(A1580&amp;"")</f>
        <v/>
      </c>
      <c r="AA1580">
        <f>IF(Z1580="","",IF(MATCH(SUBSTITUTE(SUBSTITUTE(SUBSTITUTE(Z1580,"~","~~"),"*","~*"),"?","~?"),$Z$5:$Z$5004,0)=1576,MAX($AA$4:AA1579)+1,""))</f>
        <v/>
      </c>
    </row>
    <row r="1581" spans="1:27">
      <c r="A1581" s="9"/>
      <c r="Z1581">
        <f>TRIM(A1581&amp;"")</f>
        <v/>
      </c>
      <c r="AA1581">
        <f>IF(Z1581="","",IF(MATCH(SUBSTITUTE(SUBSTITUTE(SUBSTITUTE(Z1581,"~","~~"),"*","~*"),"?","~?"),$Z$5:$Z$5004,0)=1577,MAX($AA$4:AA1580)+1,""))</f>
        <v/>
      </c>
    </row>
    <row r="1582" spans="1:27">
      <c r="A1582" s="9"/>
      <c r="Z1582">
        <f>TRIM(A1582&amp;"")</f>
        <v/>
      </c>
      <c r="AA1582">
        <f>IF(Z1582="","",IF(MATCH(SUBSTITUTE(SUBSTITUTE(SUBSTITUTE(Z1582,"~","~~"),"*","~*"),"?","~?"),$Z$5:$Z$5004,0)=1578,MAX($AA$4:AA1581)+1,""))</f>
        <v/>
      </c>
    </row>
    <row r="1583" spans="1:27">
      <c r="A1583" s="9"/>
      <c r="Z1583">
        <f>TRIM(A1583&amp;"")</f>
        <v/>
      </c>
      <c r="AA1583">
        <f>IF(Z1583="","",IF(MATCH(SUBSTITUTE(SUBSTITUTE(SUBSTITUTE(Z1583,"~","~~"),"*","~*"),"?","~?"),$Z$5:$Z$5004,0)=1579,MAX($AA$4:AA1582)+1,""))</f>
        <v/>
      </c>
    </row>
    <row r="1584" spans="1:27">
      <c r="A1584" s="9"/>
      <c r="Z1584">
        <f>TRIM(A1584&amp;"")</f>
        <v/>
      </c>
      <c r="AA1584">
        <f>IF(Z1584="","",IF(MATCH(SUBSTITUTE(SUBSTITUTE(SUBSTITUTE(Z1584,"~","~~"),"*","~*"),"?","~?"),$Z$5:$Z$5004,0)=1580,MAX($AA$4:AA1583)+1,""))</f>
        <v/>
      </c>
    </row>
    <row r="1585" spans="1:27">
      <c r="A1585" s="9"/>
      <c r="Z1585">
        <f>TRIM(A1585&amp;"")</f>
        <v/>
      </c>
      <c r="AA1585">
        <f>IF(Z1585="","",IF(MATCH(SUBSTITUTE(SUBSTITUTE(SUBSTITUTE(Z1585,"~","~~"),"*","~*"),"?","~?"),$Z$5:$Z$5004,0)=1581,MAX($AA$4:AA1584)+1,""))</f>
        <v/>
      </c>
    </row>
    <row r="1586" spans="1:27">
      <c r="A1586" s="9"/>
      <c r="Z1586">
        <f>TRIM(A1586&amp;"")</f>
        <v/>
      </c>
      <c r="AA1586">
        <f>IF(Z1586="","",IF(MATCH(SUBSTITUTE(SUBSTITUTE(SUBSTITUTE(Z1586,"~","~~"),"*","~*"),"?","~?"),$Z$5:$Z$5004,0)=1582,MAX($AA$4:AA1585)+1,""))</f>
        <v/>
      </c>
    </row>
    <row r="1587" spans="1:27">
      <c r="A1587" s="9"/>
      <c r="Z1587">
        <f>TRIM(A1587&amp;"")</f>
        <v/>
      </c>
      <c r="AA1587">
        <f>IF(Z1587="","",IF(MATCH(SUBSTITUTE(SUBSTITUTE(SUBSTITUTE(Z1587,"~","~~"),"*","~*"),"?","~?"),$Z$5:$Z$5004,0)=1583,MAX($AA$4:AA1586)+1,""))</f>
        <v/>
      </c>
    </row>
    <row r="1588" spans="1:27">
      <c r="A1588" s="9"/>
      <c r="Z1588">
        <f>TRIM(A1588&amp;"")</f>
        <v/>
      </c>
      <c r="AA1588">
        <f>IF(Z1588="","",IF(MATCH(SUBSTITUTE(SUBSTITUTE(SUBSTITUTE(Z1588,"~","~~"),"*","~*"),"?","~?"),$Z$5:$Z$5004,0)=1584,MAX($AA$4:AA1587)+1,""))</f>
        <v/>
      </c>
    </row>
    <row r="1589" spans="1:27">
      <c r="A1589" s="9"/>
      <c r="Z1589">
        <f>TRIM(A1589&amp;"")</f>
        <v/>
      </c>
      <c r="AA1589">
        <f>IF(Z1589="","",IF(MATCH(SUBSTITUTE(SUBSTITUTE(SUBSTITUTE(Z1589,"~","~~"),"*","~*"),"?","~?"),$Z$5:$Z$5004,0)=1585,MAX($AA$4:AA1588)+1,""))</f>
        <v/>
      </c>
    </row>
    <row r="1590" spans="1:27">
      <c r="A1590" s="9"/>
      <c r="Z1590">
        <f>TRIM(A1590&amp;"")</f>
        <v/>
      </c>
      <c r="AA1590">
        <f>IF(Z1590="","",IF(MATCH(SUBSTITUTE(SUBSTITUTE(SUBSTITUTE(Z1590,"~","~~"),"*","~*"),"?","~?"),$Z$5:$Z$5004,0)=1586,MAX($AA$4:AA1589)+1,""))</f>
        <v/>
      </c>
    </row>
    <row r="1591" spans="1:27">
      <c r="A1591" s="9"/>
      <c r="Z1591">
        <f>TRIM(A1591&amp;"")</f>
        <v/>
      </c>
      <c r="AA1591">
        <f>IF(Z1591="","",IF(MATCH(SUBSTITUTE(SUBSTITUTE(SUBSTITUTE(Z1591,"~","~~"),"*","~*"),"?","~?"),$Z$5:$Z$5004,0)=1587,MAX($AA$4:AA1590)+1,""))</f>
        <v/>
      </c>
    </row>
    <row r="1592" spans="1:27">
      <c r="A1592" s="9"/>
      <c r="Z1592">
        <f>TRIM(A1592&amp;"")</f>
        <v/>
      </c>
      <c r="AA1592">
        <f>IF(Z1592="","",IF(MATCH(SUBSTITUTE(SUBSTITUTE(SUBSTITUTE(Z1592,"~","~~"),"*","~*"),"?","~?"),$Z$5:$Z$5004,0)=1588,MAX($AA$4:AA1591)+1,""))</f>
        <v/>
      </c>
    </row>
    <row r="1593" spans="1:27">
      <c r="A1593" s="9"/>
      <c r="Z1593">
        <f>TRIM(A1593&amp;"")</f>
        <v/>
      </c>
      <c r="AA1593">
        <f>IF(Z1593="","",IF(MATCH(SUBSTITUTE(SUBSTITUTE(SUBSTITUTE(Z1593,"~","~~"),"*","~*"),"?","~?"),$Z$5:$Z$5004,0)=1589,MAX($AA$4:AA1592)+1,""))</f>
        <v/>
      </c>
    </row>
    <row r="1594" spans="1:27">
      <c r="A1594" s="9"/>
      <c r="Z1594">
        <f>TRIM(A1594&amp;"")</f>
        <v/>
      </c>
      <c r="AA1594">
        <f>IF(Z1594="","",IF(MATCH(SUBSTITUTE(SUBSTITUTE(SUBSTITUTE(Z1594,"~","~~"),"*","~*"),"?","~?"),$Z$5:$Z$5004,0)=1590,MAX($AA$4:AA1593)+1,""))</f>
        <v/>
      </c>
    </row>
    <row r="1595" spans="1:27">
      <c r="A1595" s="9"/>
      <c r="Z1595">
        <f>TRIM(A1595&amp;"")</f>
        <v/>
      </c>
      <c r="AA1595">
        <f>IF(Z1595="","",IF(MATCH(SUBSTITUTE(SUBSTITUTE(SUBSTITUTE(Z1595,"~","~~"),"*","~*"),"?","~?"),$Z$5:$Z$5004,0)=1591,MAX($AA$4:AA1594)+1,""))</f>
        <v/>
      </c>
    </row>
    <row r="1596" spans="1:27">
      <c r="A1596" s="9"/>
      <c r="Z1596">
        <f>TRIM(A1596&amp;"")</f>
        <v/>
      </c>
      <c r="AA1596">
        <f>IF(Z1596="","",IF(MATCH(SUBSTITUTE(SUBSTITUTE(SUBSTITUTE(Z1596,"~","~~"),"*","~*"),"?","~?"),$Z$5:$Z$5004,0)=1592,MAX($AA$4:AA1595)+1,""))</f>
        <v/>
      </c>
    </row>
    <row r="1597" spans="1:27">
      <c r="A1597" s="9"/>
      <c r="Z1597">
        <f>TRIM(A1597&amp;"")</f>
        <v/>
      </c>
      <c r="AA1597">
        <f>IF(Z1597="","",IF(MATCH(SUBSTITUTE(SUBSTITUTE(SUBSTITUTE(Z1597,"~","~~"),"*","~*"),"?","~?"),$Z$5:$Z$5004,0)=1593,MAX($AA$4:AA1596)+1,""))</f>
        <v/>
      </c>
    </row>
    <row r="1598" spans="1:27">
      <c r="A1598" s="9"/>
      <c r="Z1598">
        <f>TRIM(A1598&amp;"")</f>
        <v/>
      </c>
      <c r="AA1598">
        <f>IF(Z1598="","",IF(MATCH(SUBSTITUTE(SUBSTITUTE(SUBSTITUTE(Z1598,"~","~~"),"*","~*"),"?","~?"),$Z$5:$Z$5004,0)=1594,MAX($AA$4:AA1597)+1,""))</f>
        <v/>
      </c>
    </row>
    <row r="1599" spans="1:27">
      <c r="A1599" s="9"/>
      <c r="Z1599">
        <f>TRIM(A1599&amp;"")</f>
        <v/>
      </c>
      <c r="AA1599">
        <f>IF(Z1599="","",IF(MATCH(SUBSTITUTE(SUBSTITUTE(SUBSTITUTE(Z1599,"~","~~"),"*","~*"),"?","~?"),$Z$5:$Z$5004,0)=1595,MAX($AA$4:AA1598)+1,""))</f>
        <v/>
      </c>
    </row>
    <row r="1600" spans="1:27">
      <c r="A1600" s="9"/>
      <c r="Z1600">
        <f>TRIM(A1600&amp;"")</f>
        <v/>
      </c>
      <c r="AA1600">
        <f>IF(Z1600="","",IF(MATCH(SUBSTITUTE(SUBSTITUTE(SUBSTITUTE(Z1600,"~","~~"),"*","~*"),"?","~?"),$Z$5:$Z$5004,0)=1596,MAX($AA$4:AA1599)+1,""))</f>
        <v/>
      </c>
    </row>
    <row r="1601" spans="1:27">
      <c r="A1601" s="9"/>
      <c r="Z1601">
        <f>TRIM(A1601&amp;"")</f>
        <v/>
      </c>
      <c r="AA1601">
        <f>IF(Z1601="","",IF(MATCH(SUBSTITUTE(SUBSTITUTE(SUBSTITUTE(Z1601,"~","~~"),"*","~*"),"?","~?"),$Z$5:$Z$5004,0)=1597,MAX($AA$4:AA1600)+1,""))</f>
        <v/>
      </c>
    </row>
    <row r="1602" spans="1:27">
      <c r="A1602" s="9"/>
      <c r="Z1602">
        <f>TRIM(A1602&amp;"")</f>
        <v/>
      </c>
      <c r="AA1602">
        <f>IF(Z1602="","",IF(MATCH(SUBSTITUTE(SUBSTITUTE(SUBSTITUTE(Z1602,"~","~~"),"*","~*"),"?","~?"),$Z$5:$Z$5004,0)=1598,MAX($AA$4:AA1601)+1,""))</f>
        <v/>
      </c>
    </row>
    <row r="1603" spans="1:27">
      <c r="A1603" s="9"/>
      <c r="Z1603">
        <f>TRIM(A1603&amp;"")</f>
        <v/>
      </c>
      <c r="AA1603">
        <f>IF(Z1603="","",IF(MATCH(SUBSTITUTE(SUBSTITUTE(SUBSTITUTE(Z1603,"~","~~"),"*","~*"),"?","~?"),$Z$5:$Z$5004,0)=1599,MAX($AA$4:AA1602)+1,""))</f>
        <v/>
      </c>
    </row>
    <row r="1604" spans="1:27">
      <c r="A1604" s="9"/>
      <c r="Z1604">
        <f>TRIM(A1604&amp;"")</f>
        <v/>
      </c>
      <c r="AA1604">
        <f>IF(Z1604="","",IF(MATCH(SUBSTITUTE(SUBSTITUTE(SUBSTITUTE(Z1604,"~","~~"),"*","~*"),"?","~?"),$Z$5:$Z$5004,0)=1600,MAX($AA$4:AA1603)+1,""))</f>
        <v/>
      </c>
    </row>
    <row r="1605" spans="1:27">
      <c r="A1605" s="9"/>
      <c r="Z1605">
        <f>TRIM(A1605&amp;"")</f>
        <v/>
      </c>
      <c r="AA1605">
        <f>IF(Z1605="","",IF(MATCH(SUBSTITUTE(SUBSTITUTE(SUBSTITUTE(Z1605,"~","~~"),"*","~*"),"?","~?"),$Z$5:$Z$5004,0)=1601,MAX($AA$4:AA1604)+1,""))</f>
        <v/>
      </c>
    </row>
    <row r="1606" spans="1:27">
      <c r="A1606" s="9"/>
      <c r="Z1606">
        <f>TRIM(A1606&amp;"")</f>
        <v/>
      </c>
      <c r="AA1606">
        <f>IF(Z1606="","",IF(MATCH(SUBSTITUTE(SUBSTITUTE(SUBSTITUTE(Z1606,"~","~~"),"*","~*"),"?","~?"),$Z$5:$Z$5004,0)=1602,MAX($AA$4:AA1605)+1,""))</f>
        <v/>
      </c>
    </row>
    <row r="1607" spans="1:27">
      <c r="A1607" s="9"/>
      <c r="Z1607">
        <f>TRIM(A1607&amp;"")</f>
        <v/>
      </c>
      <c r="AA1607">
        <f>IF(Z1607="","",IF(MATCH(SUBSTITUTE(SUBSTITUTE(SUBSTITUTE(Z1607,"~","~~"),"*","~*"),"?","~?"),$Z$5:$Z$5004,0)=1603,MAX($AA$4:AA1606)+1,""))</f>
        <v/>
      </c>
    </row>
    <row r="1608" spans="1:27">
      <c r="A1608" s="9"/>
      <c r="Z1608">
        <f>TRIM(A1608&amp;"")</f>
        <v/>
      </c>
      <c r="AA1608">
        <f>IF(Z1608="","",IF(MATCH(SUBSTITUTE(SUBSTITUTE(SUBSTITUTE(Z1608,"~","~~"),"*","~*"),"?","~?"),$Z$5:$Z$5004,0)=1604,MAX($AA$4:AA1607)+1,""))</f>
        <v/>
      </c>
    </row>
    <row r="1609" spans="1:27">
      <c r="A1609" s="9"/>
      <c r="Z1609">
        <f>TRIM(A1609&amp;"")</f>
        <v/>
      </c>
      <c r="AA1609">
        <f>IF(Z1609="","",IF(MATCH(SUBSTITUTE(SUBSTITUTE(SUBSTITUTE(Z1609,"~","~~"),"*","~*"),"?","~?"),$Z$5:$Z$5004,0)=1605,MAX($AA$4:AA1608)+1,""))</f>
        <v/>
      </c>
    </row>
    <row r="1610" spans="1:27">
      <c r="A1610" s="9"/>
      <c r="Z1610">
        <f>TRIM(A1610&amp;"")</f>
        <v/>
      </c>
      <c r="AA1610">
        <f>IF(Z1610="","",IF(MATCH(SUBSTITUTE(SUBSTITUTE(SUBSTITUTE(Z1610,"~","~~"),"*","~*"),"?","~?"),$Z$5:$Z$5004,0)=1606,MAX($AA$4:AA1609)+1,""))</f>
        <v/>
      </c>
    </row>
    <row r="1611" spans="1:27">
      <c r="A1611" s="9"/>
      <c r="Z1611">
        <f>TRIM(A1611&amp;"")</f>
        <v/>
      </c>
      <c r="AA1611">
        <f>IF(Z1611="","",IF(MATCH(SUBSTITUTE(SUBSTITUTE(SUBSTITUTE(Z1611,"~","~~"),"*","~*"),"?","~?"),$Z$5:$Z$5004,0)=1607,MAX($AA$4:AA1610)+1,""))</f>
        <v/>
      </c>
    </row>
    <row r="1612" spans="1:27">
      <c r="A1612" s="9"/>
      <c r="Z1612">
        <f>TRIM(A1612&amp;"")</f>
        <v/>
      </c>
      <c r="AA1612">
        <f>IF(Z1612="","",IF(MATCH(SUBSTITUTE(SUBSTITUTE(SUBSTITUTE(Z1612,"~","~~"),"*","~*"),"?","~?"),$Z$5:$Z$5004,0)=1608,MAX($AA$4:AA1611)+1,""))</f>
        <v/>
      </c>
    </row>
    <row r="1613" spans="1:27">
      <c r="A1613" s="9"/>
      <c r="Z1613">
        <f>TRIM(A1613&amp;"")</f>
        <v/>
      </c>
      <c r="AA1613">
        <f>IF(Z1613="","",IF(MATCH(SUBSTITUTE(SUBSTITUTE(SUBSTITUTE(Z1613,"~","~~"),"*","~*"),"?","~?"),$Z$5:$Z$5004,0)=1609,MAX($AA$4:AA1612)+1,""))</f>
        <v/>
      </c>
    </row>
    <row r="1614" spans="1:27">
      <c r="A1614" s="9"/>
      <c r="Z1614">
        <f>TRIM(A1614&amp;"")</f>
        <v/>
      </c>
      <c r="AA1614">
        <f>IF(Z1614="","",IF(MATCH(SUBSTITUTE(SUBSTITUTE(SUBSTITUTE(Z1614,"~","~~"),"*","~*"),"?","~?"),$Z$5:$Z$5004,0)=1610,MAX($AA$4:AA1613)+1,""))</f>
        <v/>
      </c>
    </row>
    <row r="1615" spans="1:27">
      <c r="A1615" s="9"/>
      <c r="Z1615">
        <f>TRIM(A1615&amp;"")</f>
        <v/>
      </c>
      <c r="AA1615">
        <f>IF(Z1615="","",IF(MATCH(SUBSTITUTE(SUBSTITUTE(SUBSTITUTE(Z1615,"~","~~"),"*","~*"),"?","~?"),$Z$5:$Z$5004,0)=1611,MAX($AA$4:AA1614)+1,""))</f>
        <v/>
      </c>
    </row>
    <row r="1616" spans="1:27">
      <c r="A1616" s="9"/>
      <c r="Z1616">
        <f>TRIM(A1616&amp;"")</f>
        <v/>
      </c>
      <c r="AA1616">
        <f>IF(Z1616="","",IF(MATCH(SUBSTITUTE(SUBSTITUTE(SUBSTITUTE(Z1616,"~","~~"),"*","~*"),"?","~?"),$Z$5:$Z$5004,0)=1612,MAX($AA$4:AA1615)+1,""))</f>
        <v/>
      </c>
    </row>
    <row r="1617" spans="1:27">
      <c r="A1617" s="9"/>
      <c r="Z1617">
        <f>TRIM(A1617&amp;"")</f>
        <v/>
      </c>
      <c r="AA1617">
        <f>IF(Z1617="","",IF(MATCH(SUBSTITUTE(SUBSTITUTE(SUBSTITUTE(Z1617,"~","~~"),"*","~*"),"?","~?"),$Z$5:$Z$5004,0)=1613,MAX($AA$4:AA1616)+1,""))</f>
        <v/>
      </c>
    </row>
    <row r="1618" spans="1:27">
      <c r="A1618" s="9"/>
      <c r="Z1618">
        <f>TRIM(A1618&amp;"")</f>
        <v/>
      </c>
      <c r="AA1618">
        <f>IF(Z1618="","",IF(MATCH(SUBSTITUTE(SUBSTITUTE(SUBSTITUTE(Z1618,"~","~~"),"*","~*"),"?","~?"),$Z$5:$Z$5004,0)=1614,MAX($AA$4:AA1617)+1,""))</f>
        <v/>
      </c>
    </row>
    <row r="1619" spans="1:27">
      <c r="A1619" s="9"/>
      <c r="Z1619">
        <f>TRIM(A1619&amp;"")</f>
        <v/>
      </c>
      <c r="AA1619">
        <f>IF(Z1619="","",IF(MATCH(SUBSTITUTE(SUBSTITUTE(SUBSTITUTE(Z1619,"~","~~"),"*","~*"),"?","~?"),$Z$5:$Z$5004,0)=1615,MAX($AA$4:AA1618)+1,""))</f>
        <v/>
      </c>
    </row>
    <row r="1620" spans="1:27">
      <c r="A1620" s="9"/>
      <c r="Z1620">
        <f>TRIM(A1620&amp;"")</f>
        <v/>
      </c>
      <c r="AA1620">
        <f>IF(Z1620="","",IF(MATCH(SUBSTITUTE(SUBSTITUTE(SUBSTITUTE(Z1620,"~","~~"),"*","~*"),"?","~?"),$Z$5:$Z$5004,0)=1616,MAX($AA$4:AA1619)+1,""))</f>
        <v/>
      </c>
    </row>
    <row r="1621" spans="1:27">
      <c r="A1621" s="9"/>
      <c r="Z1621">
        <f>TRIM(A1621&amp;"")</f>
        <v/>
      </c>
      <c r="AA1621">
        <f>IF(Z1621="","",IF(MATCH(SUBSTITUTE(SUBSTITUTE(SUBSTITUTE(Z1621,"~","~~"),"*","~*"),"?","~?"),$Z$5:$Z$5004,0)=1617,MAX($AA$4:AA1620)+1,""))</f>
        <v/>
      </c>
    </row>
    <row r="1622" spans="1:27">
      <c r="A1622" s="9"/>
      <c r="Z1622">
        <f>TRIM(A1622&amp;"")</f>
        <v/>
      </c>
      <c r="AA1622">
        <f>IF(Z1622="","",IF(MATCH(SUBSTITUTE(SUBSTITUTE(SUBSTITUTE(Z1622,"~","~~"),"*","~*"),"?","~?"),$Z$5:$Z$5004,0)=1618,MAX($AA$4:AA1621)+1,""))</f>
        <v/>
      </c>
    </row>
    <row r="1623" spans="1:27">
      <c r="A1623" s="9"/>
      <c r="Z1623">
        <f>TRIM(A1623&amp;"")</f>
        <v/>
      </c>
      <c r="AA1623">
        <f>IF(Z1623="","",IF(MATCH(SUBSTITUTE(SUBSTITUTE(SUBSTITUTE(Z1623,"~","~~"),"*","~*"),"?","~?"),$Z$5:$Z$5004,0)=1619,MAX($AA$4:AA1622)+1,""))</f>
        <v/>
      </c>
    </row>
    <row r="1624" spans="1:27">
      <c r="A1624" s="9"/>
      <c r="Z1624">
        <f>TRIM(A1624&amp;"")</f>
        <v/>
      </c>
      <c r="AA1624">
        <f>IF(Z1624="","",IF(MATCH(SUBSTITUTE(SUBSTITUTE(SUBSTITUTE(Z1624,"~","~~"),"*","~*"),"?","~?"),$Z$5:$Z$5004,0)=1620,MAX($AA$4:AA1623)+1,""))</f>
        <v/>
      </c>
    </row>
    <row r="1625" spans="1:27">
      <c r="A1625" s="9"/>
      <c r="Z1625">
        <f>TRIM(A1625&amp;"")</f>
        <v/>
      </c>
      <c r="AA1625">
        <f>IF(Z1625="","",IF(MATCH(SUBSTITUTE(SUBSTITUTE(SUBSTITUTE(Z1625,"~","~~"),"*","~*"),"?","~?"),$Z$5:$Z$5004,0)=1621,MAX($AA$4:AA1624)+1,""))</f>
        <v/>
      </c>
    </row>
    <row r="1626" spans="1:27">
      <c r="A1626" s="9"/>
      <c r="Z1626">
        <f>TRIM(A1626&amp;"")</f>
        <v/>
      </c>
      <c r="AA1626">
        <f>IF(Z1626="","",IF(MATCH(SUBSTITUTE(SUBSTITUTE(SUBSTITUTE(Z1626,"~","~~"),"*","~*"),"?","~?"),$Z$5:$Z$5004,0)=1622,MAX($AA$4:AA1625)+1,""))</f>
        <v/>
      </c>
    </row>
    <row r="1627" spans="1:27">
      <c r="A1627" s="9"/>
      <c r="Z1627">
        <f>TRIM(A1627&amp;"")</f>
        <v/>
      </c>
      <c r="AA1627">
        <f>IF(Z1627="","",IF(MATCH(SUBSTITUTE(SUBSTITUTE(SUBSTITUTE(Z1627,"~","~~"),"*","~*"),"?","~?"),$Z$5:$Z$5004,0)=1623,MAX($AA$4:AA1626)+1,""))</f>
        <v/>
      </c>
    </row>
    <row r="1628" spans="1:27">
      <c r="A1628" s="9"/>
      <c r="Z1628">
        <f>TRIM(A1628&amp;"")</f>
        <v/>
      </c>
      <c r="AA1628">
        <f>IF(Z1628="","",IF(MATCH(SUBSTITUTE(SUBSTITUTE(SUBSTITUTE(Z1628,"~","~~"),"*","~*"),"?","~?"),$Z$5:$Z$5004,0)=1624,MAX($AA$4:AA1627)+1,""))</f>
        <v/>
      </c>
    </row>
    <row r="1629" spans="1:27">
      <c r="A1629" s="9"/>
      <c r="Z1629">
        <f>TRIM(A1629&amp;"")</f>
        <v/>
      </c>
      <c r="AA1629">
        <f>IF(Z1629="","",IF(MATCH(SUBSTITUTE(SUBSTITUTE(SUBSTITUTE(Z1629,"~","~~"),"*","~*"),"?","~?"),$Z$5:$Z$5004,0)=1625,MAX($AA$4:AA1628)+1,""))</f>
        <v/>
      </c>
    </row>
    <row r="1630" spans="1:27">
      <c r="A1630" s="9"/>
      <c r="Z1630">
        <f>TRIM(A1630&amp;"")</f>
        <v/>
      </c>
      <c r="AA1630">
        <f>IF(Z1630="","",IF(MATCH(SUBSTITUTE(SUBSTITUTE(SUBSTITUTE(Z1630,"~","~~"),"*","~*"),"?","~?"),$Z$5:$Z$5004,0)=1626,MAX($AA$4:AA1629)+1,""))</f>
        <v/>
      </c>
    </row>
    <row r="1631" spans="1:27">
      <c r="A1631" s="9"/>
      <c r="Z1631">
        <f>TRIM(A1631&amp;"")</f>
        <v/>
      </c>
      <c r="AA1631">
        <f>IF(Z1631="","",IF(MATCH(SUBSTITUTE(SUBSTITUTE(SUBSTITUTE(Z1631,"~","~~"),"*","~*"),"?","~?"),$Z$5:$Z$5004,0)=1627,MAX($AA$4:AA1630)+1,""))</f>
        <v/>
      </c>
    </row>
    <row r="1632" spans="1:27">
      <c r="A1632" s="9"/>
      <c r="Z1632">
        <f>TRIM(A1632&amp;"")</f>
        <v/>
      </c>
      <c r="AA1632">
        <f>IF(Z1632="","",IF(MATCH(SUBSTITUTE(SUBSTITUTE(SUBSTITUTE(Z1632,"~","~~"),"*","~*"),"?","~?"),$Z$5:$Z$5004,0)=1628,MAX($AA$4:AA1631)+1,""))</f>
        <v/>
      </c>
    </row>
    <row r="1633" spans="1:27">
      <c r="A1633" s="9"/>
      <c r="Z1633">
        <f>TRIM(A1633&amp;"")</f>
        <v/>
      </c>
      <c r="AA1633">
        <f>IF(Z1633="","",IF(MATCH(SUBSTITUTE(SUBSTITUTE(SUBSTITUTE(Z1633,"~","~~"),"*","~*"),"?","~?"),$Z$5:$Z$5004,0)=1629,MAX($AA$4:AA1632)+1,""))</f>
        <v/>
      </c>
    </row>
    <row r="1634" spans="1:27">
      <c r="A1634" s="9"/>
      <c r="Z1634">
        <f>TRIM(A1634&amp;"")</f>
        <v/>
      </c>
      <c r="AA1634">
        <f>IF(Z1634="","",IF(MATCH(SUBSTITUTE(SUBSTITUTE(SUBSTITUTE(Z1634,"~","~~"),"*","~*"),"?","~?"),$Z$5:$Z$5004,0)=1630,MAX($AA$4:AA1633)+1,""))</f>
        <v/>
      </c>
    </row>
    <row r="1635" spans="1:27">
      <c r="A1635" s="9"/>
      <c r="Z1635">
        <f>TRIM(A1635&amp;"")</f>
        <v/>
      </c>
      <c r="AA1635">
        <f>IF(Z1635="","",IF(MATCH(SUBSTITUTE(SUBSTITUTE(SUBSTITUTE(Z1635,"~","~~"),"*","~*"),"?","~?"),$Z$5:$Z$5004,0)=1631,MAX($AA$4:AA1634)+1,""))</f>
        <v/>
      </c>
    </row>
    <row r="1636" spans="1:27">
      <c r="A1636" s="9"/>
      <c r="Z1636">
        <f>TRIM(A1636&amp;"")</f>
        <v/>
      </c>
      <c r="AA1636">
        <f>IF(Z1636="","",IF(MATCH(SUBSTITUTE(SUBSTITUTE(SUBSTITUTE(Z1636,"~","~~"),"*","~*"),"?","~?"),$Z$5:$Z$5004,0)=1632,MAX($AA$4:AA1635)+1,""))</f>
        <v/>
      </c>
    </row>
    <row r="1637" spans="1:27">
      <c r="A1637" s="9"/>
      <c r="Z1637">
        <f>TRIM(A1637&amp;"")</f>
        <v/>
      </c>
      <c r="AA1637">
        <f>IF(Z1637="","",IF(MATCH(SUBSTITUTE(SUBSTITUTE(SUBSTITUTE(Z1637,"~","~~"),"*","~*"),"?","~?"),$Z$5:$Z$5004,0)=1633,MAX($AA$4:AA1636)+1,""))</f>
        <v/>
      </c>
    </row>
    <row r="1638" spans="1:27">
      <c r="A1638" s="9"/>
      <c r="Z1638">
        <f>TRIM(A1638&amp;"")</f>
        <v/>
      </c>
      <c r="AA1638">
        <f>IF(Z1638="","",IF(MATCH(SUBSTITUTE(SUBSTITUTE(SUBSTITUTE(Z1638,"~","~~"),"*","~*"),"?","~?"),$Z$5:$Z$5004,0)=1634,MAX($AA$4:AA1637)+1,""))</f>
        <v/>
      </c>
    </row>
    <row r="1639" spans="1:27">
      <c r="A1639" s="9"/>
      <c r="Z1639">
        <f>TRIM(A1639&amp;"")</f>
        <v/>
      </c>
      <c r="AA1639">
        <f>IF(Z1639="","",IF(MATCH(SUBSTITUTE(SUBSTITUTE(SUBSTITUTE(Z1639,"~","~~"),"*","~*"),"?","~?"),$Z$5:$Z$5004,0)=1635,MAX($AA$4:AA1638)+1,""))</f>
        <v/>
      </c>
    </row>
    <row r="1640" spans="1:27">
      <c r="A1640" s="9"/>
      <c r="Z1640">
        <f>TRIM(A1640&amp;"")</f>
        <v/>
      </c>
      <c r="AA1640">
        <f>IF(Z1640="","",IF(MATCH(SUBSTITUTE(SUBSTITUTE(SUBSTITUTE(Z1640,"~","~~"),"*","~*"),"?","~?"),$Z$5:$Z$5004,0)=1636,MAX($AA$4:AA1639)+1,""))</f>
        <v/>
      </c>
    </row>
    <row r="1641" spans="1:27">
      <c r="A1641" s="9"/>
      <c r="Z1641">
        <f>TRIM(A1641&amp;"")</f>
        <v/>
      </c>
      <c r="AA1641">
        <f>IF(Z1641="","",IF(MATCH(SUBSTITUTE(SUBSTITUTE(SUBSTITUTE(Z1641,"~","~~"),"*","~*"),"?","~?"),$Z$5:$Z$5004,0)=1637,MAX($AA$4:AA1640)+1,""))</f>
        <v/>
      </c>
    </row>
    <row r="1642" spans="1:27">
      <c r="A1642" s="9"/>
      <c r="Z1642">
        <f>TRIM(A1642&amp;"")</f>
        <v/>
      </c>
      <c r="AA1642">
        <f>IF(Z1642="","",IF(MATCH(SUBSTITUTE(SUBSTITUTE(SUBSTITUTE(Z1642,"~","~~"),"*","~*"),"?","~?"),$Z$5:$Z$5004,0)=1638,MAX($AA$4:AA1641)+1,""))</f>
        <v/>
      </c>
    </row>
    <row r="1643" spans="1:27">
      <c r="A1643" s="9"/>
      <c r="Z1643">
        <f>TRIM(A1643&amp;"")</f>
        <v/>
      </c>
      <c r="AA1643">
        <f>IF(Z1643="","",IF(MATCH(SUBSTITUTE(SUBSTITUTE(SUBSTITUTE(Z1643,"~","~~"),"*","~*"),"?","~?"),$Z$5:$Z$5004,0)=1639,MAX($AA$4:AA1642)+1,""))</f>
        <v/>
      </c>
    </row>
    <row r="1644" spans="1:27">
      <c r="A1644" s="9"/>
      <c r="Z1644">
        <f>TRIM(A1644&amp;"")</f>
        <v/>
      </c>
      <c r="AA1644">
        <f>IF(Z1644="","",IF(MATCH(SUBSTITUTE(SUBSTITUTE(SUBSTITUTE(Z1644,"~","~~"),"*","~*"),"?","~?"),$Z$5:$Z$5004,0)=1640,MAX($AA$4:AA1643)+1,""))</f>
        <v/>
      </c>
    </row>
    <row r="1645" spans="1:27">
      <c r="A1645" s="9"/>
      <c r="Z1645">
        <f>TRIM(A1645&amp;"")</f>
        <v/>
      </c>
      <c r="AA1645">
        <f>IF(Z1645="","",IF(MATCH(SUBSTITUTE(SUBSTITUTE(SUBSTITUTE(Z1645,"~","~~"),"*","~*"),"?","~?"),$Z$5:$Z$5004,0)=1641,MAX($AA$4:AA1644)+1,""))</f>
        <v/>
      </c>
    </row>
    <row r="1646" spans="1:27">
      <c r="A1646" s="9"/>
      <c r="Z1646">
        <f>TRIM(A1646&amp;"")</f>
        <v/>
      </c>
      <c r="AA1646">
        <f>IF(Z1646="","",IF(MATCH(SUBSTITUTE(SUBSTITUTE(SUBSTITUTE(Z1646,"~","~~"),"*","~*"),"?","~?"),$Z$5:$Z$5004,0)=1642,MAX($AA$4:AA1645)+1,""))</f>
        <v/>
      </c>
    </row>
    <row r="1647" spans="1:27">
      <c r="A1647" s="9"/>
      <c r="Z1647">
        <f>TRIM(A1647&amp;"")</f>
        <v/>
      </c>
      <c r="AA1647">
        <f>IF(Z1647="","",IF(MATCH(SUBSTITUTE(SUBSTITUTE(SUBSTITUTE(Z1647,"~","~~"),"*","~*"),"?","~?"),$Z$5:$Z$5004,0)=1643,MAX($AA$4:AA1646)+1,""))</f>
        <v/>
      </c>
    </row>
    <row r="1648" spans="1:27">
      <c r="A1648" s="9"/>
      <c r="Z1648">
        <f>TRIM(A1648&amp;"")</f>
        <v/>
      </c>
      <c r="AA1648">
        <f>IF(Z1648="","",IF(MATCH(SUBSTITUTE(SUBSTITUTE(SUBSTITUTE(Z1648,"~","~~"),"*","~*"),"?","~?"),$Z$5:$Z$5004,0)=1644,MAX($AA$4:AA1647)+1,""))</f>
        <v/>
      </c>
    </row>
    <row r="1649" spans="1:27">
      <c r="A1649" s="9"/>
      <c r="Z1649">
        <f>TRIM(A1649&amp;"")</f>
        <v/>
      </c>
      <c r="AA1649">
        <f>IF(Z1649="","",IF(MATCH(SUBSTITUTE(SUBSTITUTE(SUBSTITUTE(Z1649,"~","~~"),"*","~*"),"?","~?"),$Z$5:$Z$5004,0)=1645,MAX($AA$4:AA1648)+1,""))</f>
        <v/>
      </c>
    </row>
    <row r="1650" spans="1:27">
      <c r="A1650" s="9"/>
      <c r="Z1650">
        <f>TRIM(A1650&amp;"")</f>
        <v/>
      </c>
      <c r="AA1650">
        <f>IF(Z1650="","",IF(MATCH(SUBSTITUTE(SUBSTITUTE(SUBSTITUTE(Z1650,"~","~~"),"*","~*"),"?","~?"),$Z$5:$Z$5004,0)=1646,MAX($AA$4:AA1649)+1,""))</f>
        <v/>
      </c>
    </row>
    <row r="1651" spans="1:27">
      <c r="A1651" s="9"/>
      <c r="Z1651">
        <f>TRIM(A1651&amp;"")</f>
        <v/>
      </c>
      <c r="AA1651">
        <f>IF(Z1651="","",IF(MATCH(SUBSTITUTE(SUBSTITUTE(SUBSTITUTE(Z1651,"~","~~"),"*","~*"),"?","~?"),$Z$5:$Z$5004,0)=1647,MAX($AA$4:AA1650)+1,""))</f>
        <v/>
      </c>
    </row>
    <row r="1652" spans="1:27">
      <c r="A1652" s="9"/>
      <c r="Z1652">
        <f>TRIM(A1652&amp;"")</f>
        <v/>
      </c>
      <c r="AA1652">
        <f>IF(Z1652="","",IF(MATCH(SUBSTITUTE(SUBSTITUTE(SUBSTITUTE(Z1652,"~","~~"),"*","~*"),"?","~?"),$Z$5:$Z$5004,0)=1648,MAX($AA$4:AA1651)+1,""))</f>
        <v/>
      </c>
    </row>
    <row r="1653" spans="1:27">
      <c r="A1653" s="9"/>
      <c r="Z1653">
        <f>TRIM(A1653&amp;"")</f>
        <v/>
      </c>
      <c r="AA1653">
        <f>IF(Z1653="","",IF(MATCH(SUBSTITUTE(SUBSTITUTE(SUBSTITUTE(Z1653,"~","~~"),"*","~*"),"?","~?"),$Z$5:$Z$5004,0)=1649,MAX($AA$4:AA1652)+1,""))</f>
        <v/>
      </c>
    </row>
    <row r="1654" spans="1:27">
      <c r="A1654" s="9"/>
      <c r="Z1654">
        <f>TRIM(A1654&amp;"")</f>
        <v/>
      </c>
      <c r="AA1654">
        <f>IF(Z1654="","",IF(MATCH(SUBSTITUTE(SUBSTITUTE(SUBSTITUTE(Z1654,"~","~~"),"*","~*"),"?","~?"),$Z$5:$Z$5004,0)=1650,MAX($AA$4:AA1653)+1,""))</f>
        <v/>
      </c>
    </row>
    <row r="1655" spans="1:27">
      <c r="A1655" s="9"/>
      <c r="Z1655">
        <f>TRIM(A1655&amp;"")</f>
        <v/>
      </c>
      <c r="AA1655">
        <f>IF(Z1655="","",IF(MATCH(SUBSTITUTE(SUBSTITUTE(SUBSTITUTE(Z1655,"~","~~"),"*","~*"),"?","~?"),$Z$5:$Z$5004,0)=1651,MAX($AA$4:AA1654)+1,""))</f>
        <v/>
      </c>
    </row>
    <row r="1656" spans="1:27">
      <c r="A1656" s="9"/>
      <c r="Z1656">
        <f>TRIM(A1656&amp;"")</f>
        <v/>
      </c>
      <c r="AA1656">
        <f>IF(Z1656="","",IF(MATCH(SUBSTITUTE(SUBSTITUTE(SUBSTITUTE(Z1656,"~","~~"),"*","~*"),"?","~?"),$Z$5:$Z$5004,0)=1652,MAX($AA$4:AA1655)+1,""))</f>
        <v/>
      </c>
    </row>
    <row r="1657" spans="1:27">
      <c r="A1657" s="9"/>
      <c r="Z1657">
        <f>TRIM(A1657&amp;"")</f>
        <v/>
      </c>
      <c r="AA1657">
        <f>IF(Z1657="","",IF(MATCH(SUBSTITUTE(SUBSTITUTE(SUBSTITUTE(Z1657,"~","~~"),"*","~*"),"?","~?"),$Z$5:$Z$5004,0)=1653,MAX($AA$4:AA1656)+1,""))</f>
        <v/>
      </c>
    </row>
    <row r="1658" spans="1:27">
      <c r="A1658" s="9"/>
      <c r="Z1658">
        <f>TRIM(A1658&amp;"")</f>
        <v/>
      </c>
      <c r="AA1658">
        <f>IF(Z1658="","",IF(MATCH(SUBSTITUTE(SUBSTITUTE(SUBSTITUTE(Z1658,"~","~~"),"*","~*"),"?","~?"),$Z$5:$Z$5004,0)=1654,MAX($AA$4:AA1657)+1,""))</f>
        <v/>
      </c>
    </row>
    <row r="1659" spans="1:27">
      <c r="A1659" s="9"/>
      <c r="Z1659">
        <f>TRIM(A1659&amp;"")</f>
        <v/>
      </c>
      <c r="AA1659">
        <f>IF(Z1659="","",IF(MATCH(SUBSTITUTE(SUBSTITUTE(SUBSTITUTE(Z1659,"~","~~"),"*","~*"),"?","~?"),$Z$5:$Z$5004,0)=1655,MAX($AA$4:AA1658)+1,""))</f>
        <v/>
      </c>
    </row>
    <row r="1660" spans="1:27">
      <c r="A1660" s="9"/>
      <c r="Z1660">
        <f>TRIM(A1660&amp;"")</f>
        <v/>
      </c>
      <c r="AA1660">
        <f>IF(Z1660="","",IF(MATCH(SUBSTITUTE(SUBSTITUTE(SUBSTITUTE(Z1660,"~","~~"),"*","~*"),"?","~?"),$Z$5:$Z$5004,0)=1656,MAX($AA$4:AA1659)+1,""))</f>
        <v/>
      </c>
    </row>
    <row r="1661" spans="1:27">
      <c r="A1661" s="9"/>
      <c r="Z1661">
        <f>TRIM(A1661&amp;"")</f>
        <v/>
      </c>
      <c r="AA1661">
        <f>IF(Z1661="","",IF(MATCH(SUBSTITUTE(SUBSTITUTE(SUBSTITUTE(Z1661,"~","~~"),"*","~*"),"?","~?"),$Z$5:$Z$5004,0)=1657,MAX($AA$4:AA1660)+1,""))</f>
        <v/>
      </c>
    </row>
    <row r="1662" spans="1:27">
      <c r="A1662" s="9"/>
      <c r="Z1662">
        <f>TRIM(A1662&amp;"")</f>
        <v/>
      </c>
      <c r="AA1662">
        <f>IF(Z1662="","",IF(MATCH(SUBSTITUTE(SUBSTITUTE(SUBSTITUTE(Z1662,"~","~~"),"*","~*"),"?","~?"),$Z$5:$Z$5004,0)=1658,MAX($AA$4:AA1661)+1,""))</f>
        <v/>
      </c>
    </row>
    <row r="1663" spans="1:27">
      <c r="A1663" s="9"/>
      <c r="Z1663">
        <f>TRIM(A1663&amp;"")</f>
        <v/>
      </c>
      <c r="AA1663">
        <f>IF(Z1663="","",IF(MATCH(SUBSTITUTE(SUBSTITUTE(SUBSTITUTE(Z1663,"~","~~"),"*","~*"),"?","~?"),$Z$5:$Z$5004,0)=1659,MAX($AA$4:AA1662)+1,""))</f>
        <v/>
      </c>
    </row>
    <row r="1664" spans="1:27">
      <c r="A1664" s="9"/>
      <c r="Z1664">
        <f>TRIM(A1664&amp;"")</f>
        <v/>
      </c>
      <c r="AA1664">
        <f>IF(Z1664="","",IF(MATCH(SUBSTITUTE(SUBSTITUTE(SUBSTITUTE(Z1664,"~","~~"),"*","~*"),"?","~?"),$Z$5:$Z$5004,0)=1660,MAX($AA$4:AA1663)+1,""))</f>
        <v/>
      </c>
    </row>
    <row r="1665" spans="1:27">
      <c r="A1665" s="9"/>
      <c r="Z1665">
        <f>TRIM(A1665&amp;"")</f>
        <v/>
      </c>
      <c r="AA1665">
        <f>IF(Z1665="","",IF(MATCH(SUBSTITUTE(SUBSTITUTE(SUBSTITUTE(Z1665,"~","~~"),"*","~*"),"?","~?"),$Z$5:$Z$5004,0)=1661,MAX($AA$4:AA1664)+1,""))</f>
        <v/>
      </c>
    </row>
    <row r="1666" spans="1:27">
      <c r="A1666" s="9"/>
      <c r="Z1666">
        <f>TRIM(A1666&amp;"")</f>
        <v/>
      </c>
      <c r="AA1666">
        <f>IF(Z1666="","",IF(MATCH(SUBSTITUTE(SUBSTITUTE(SUBSTITUTE(Z1666,"~","~~"),"*","~*"),"?","~?"),$Z$5:$Z$5004,0)=1662,MAX($AA$4:AA1665)+1,""))</f>
        <v/>
      </c>
    </row>
    <row r="1667" spans="1:27">
      <c r="A1667" s="9"/>
      <c r="Z1667">
        <f>TRIM(A1667&amp;"")</f>
        <v/>
      </c>
      <c r="AA1667">
        <f>IF(Z1667="","",IF(MATCH(SUBSTITUTE(SUBSTITUTE(SUBSTITUTE(Z1667,"~","~~"),"*","~*"),"?","~?"),$Z$5:$Z$5004,0)=1663,MAX($AA$4:AA1666)+1,""))</f>
        <v/>
      </c>
    </row>
    <row r="1668" spans="1:27">
      <c r="A1668" s="9"/>
      <c r="Z1668">
        <f>TRIM(A1668&amp;"")</f>
        <v/>
      </c>
      <c r="AA1668">
        <f>IF(Z1668="","",IF(MATCH(SUBSTITUTE(SUBSTITUTE(SUBSTITUTE(Z1668,"~","~~"),"*","~*"),"?","~?"),$Z$5:$Z$5004,0)=1664,MAX($AA$4:AA1667)+1,""))</f>
        <v/>
      </c>
    </row>
    <row r="1669" spans="1:27">
      <c r="A1669" s="9"/>
      <c r="Z1669">
        <f>TRIM(A1669&amp;"")</f>
        <v/>
      </c>
      <c r="AA1669">
        <f>IF(Z1669="","",IF(MATCH(SUBSTITUTE(SUBSTITUTE(SUBSTITUTE(Z1669,"~","~~"),"*","~*"),"?","~?"),$Z$5:$Z$5004,0)=1665,MAX($AA$4:AA1668)+1,""))</f>
        <v/>
      </c>
    </row>
    <row r="1670" spans="1:27">
      <c r="A1670" s="9"/>
      <c r="Z1670">
        <f>TRIM(A1670&amp;"")</f>
        <v/>
      </c>
      <c r="AA1670">
        <f>IF(Z1670="","",IF(MATCH(SUBSTITUTE(SUBSTITUTE(SUBSTITUTE(Z1670,"~","~~"),"*","~*"),"?","~?"),$Z$5:$Z$5004,0)=1666,MAX($AA$4:AA1669)+1,""))</f>
        <v/>
      </c>
    </row>
    <row r="1671" spans="1:27">
      <c r="A1671" s="9"/>
      <c r="Z1671">
        <f>TRIM(A1671&amp;"")</f>
        <v/>
      </c>
      <c r="AA1671">
        <f>IF(Z1671="","",IF(MATCH(SUBSTITUTE(SUBSTITUTE(SUBSTITUTE(Z1671,"~","~~"),"*","~*"),"?","~?"),$Z$5:$Z$5004,0)=1667,MAX($AA$4:AA1670)+1,""))</f>
        <v/>
      </c>
    </row>
    <row r="1672" spans="1:27">
      <c r="A1672" s="9"/>
      <c r="Z1672">
        <f>TRIM(A1672&amp;"")</f>
        <v/>
      </c>
      <c r="AA1672">
        <f>IF(Z1672="","",IF(MATCH(SUBSTITUTE(SUBSTITUTE(SUBSTITUTE(Z1672,"~","~~"),"*","~*"),"?","~?"),$Z$5:$Z$5004,0)=1668,MAX($AA$4:AA1671)+1,""))</f>
        <v/>
      </c>
    </row>
    <row r="1673" spans="1:27">
      <c r="A1673" s="9"/>
      <c r="Z1673">
        <f>TRIM(A1673&amp;"")</f>
        <v/>
      </c>
      <c r="AA1673">
        <f>IF(Z1673="","",IF(MATCH(SUBSTITUTE(SUBSTITUTE(SUBSTITUTE(Z1673,"~","~~"),"*","~*"),"?","~?"),$Z$5:$Z$5004,0)=1669,MAX($AA$4:AA1672)+1,""))</f>
        <v/>
      </c>
    </row>
    <row r="1674" spans="1:27">
      <c r="A1674" s="9"/>
      <c r="Z1674">
        <f>TRIM(A1674&amp;"")</f>
        <v/>
      </c>
      <c r="AA1674">
        <f>IF(Z1674="","",IF(MATCH(SUBSTITUTE(SUBSTITUTE(SUBSTITUTE(Z1674,"~","~~"),"*","~*"),"?","~?"),$Z$5:$Z$5004,0)=1670,MAX($AA$4:AA1673)+1,""))</f>
        <v/>
      </c>
    </row>
    <row r="1675" spans="1:27">
      <c r="A1675" s="9"/>
      <c r="Z1675">
        <f>TRIM(A1675&amp;"")</f>
        <v/>
      </c>
      <c r="AA1675">
        <f>IF(Z1675="","",IF(MATCH(SUBSTITUTE(SUBSTITUTE(SUBSTITUTE(Z1675,"~","~~"),"*","~*"),"?","~?"),$Z$5:$Z$5004,0)=1671,MAX($AA$4:AA1674)+1,""))</f>
        <v/>
      </c>
    </row>
    <row r="1676" spans="1:27">
      <c r="A1676" s="9"/>
      <c r="Z1676">
        <f>TRIM(A1676&amp;"")</f>
        <v/>
      </c>
      <c r="AA1676">
        <f>IF(Z1676="","",IF(MATCH(SUBSTITUTE(SUBSTITUTE(SUBSTITUTE(Z1676,"~","~~"),"*","~*"),"?","~?"),$Z$5:$Z$5004,0)=1672,MAX($AA$4:AA1675)+1,""))</f>
        <v/>
      </c>
    </row>
    <row r="1677" spans="1:27">
      <c r="A1677" s="9"/>
      <c r="Z1677">
        <f>TRIM(A1677&amp;"")</f>
        <v/>
      </c>
      <c r="AA1677">
        <f>IF(Z1677="","",IF(MATCH(SUBSTITUTE(SUBSTITUTE(SUBSTITUTE(Z1677,"~","~~"),"*","~*"),"?","~?"),$Z$5:$Z$5004,0)=1673,MAX($AA$4:AA1676)+1,""))</f>
        <v/>
      </c>
    </row>
    <row r="1678" spans="1:27">
      <c r="A1678" s="9"/>
      <c r="Z1678">
        <f>TRIM(A1678&amp;"")</f>
        <v/>
      </c>
      <c r="AA1678">
        <f>IF(Z1678="","",IF(MATCH(SUBSTITUTE(SUBSTITUTE(SUBSTITUTE(Z1678,"~","~~"),"*","~*"),"?","~?"),$Z$5:$Z$5004,0)=1674,MAX($AA$4:AA1677)+1,""))</f>
        <v/>
      </c>
    </row>
    <row r="1679" spans="1:27">
      <c r="A1679" s="9"/>
      <c r="Z1679">
        <f>TRIM(A1679&amp;"")</f>
        <v/>
      </c>
      <c r="AA1679">
        <f>IF(Z1679="","",IF(MATCH(SUBSTITUTE(SUBSTITUTE(SUBSTITUTE(Z1679,"~","~~"),"*","~*"),"?","~?"),$Z$5:$Z$5004,0)=1675,MAX($AA$4:AA1678)+1,""))</f>
        <v/>
      </c>
    </row>
    <row r="1680" spans="1:27">
      <c r="A1680" s="9"/>
      <c r="Z1680">
        <f>TRIM(A1680&amp;"")</f>
        <v/>
      </c>
      <c r="AA1680">
        <f>IF(Z1680="","",IF(MATCH(SUBSTITUTE(SUBSTITUTE(SUBSTITUTE(Z1680,"~","~~"),"*","~*"),"?","~?"),$Z$5:$Z$5004,0)=1676,MAX($AA$4:AA1679)+1,""))</f>
        <v/>
      </c>
    </row>
    <row r="1681" spans="1:27">
      <c r="A1681" s="9"/>
      <c r="Z1681">
        <f>TRIM(A1681&amp;"")</f>
        <v/>
      </c>
      <c r="AA1681">
        <f>IF(Z1681="","",IF(MATCH(SUBSTITUTE(SUBSTITUTE(SUBSTITUTE(Z1681,"~","~~"),"*","~*"),"?","~?"),$Z$5:$Z$5004,0)=1677,MAX($AA$4:AA1680)+1,""))</f>
        <v/>
      </c>
    </row>
    <row r="1682" spans="1:27">
      <c r="A1682" s="9"/>
      <c r="Z1682">
        <f>TRIM(A1682&amp;"")</f>
        <v/>
      </c>
      <c r="AA1682">
        <f>IF(Z1682="","",IF(MATCH(SUBSTITUTE(SUBSTITUTE(SUBSTITUTE(Z1682,"~","~~"),"*","~*"),"?","~?"),$Z$5:$Z$5004,0)=1678,MAX($AA$4:AA1681)+1,""))</f>
        <v/>
      </c>
    </row>
    <row r="1683" spans="1:27">
      <c r="A1683" s="9"/>
      <c r="Z1683">
        <f>TRIM(A1683&amp;"")</f>
        <v/>
      </c>
      <c r="AA1683">
        <f>IF(Z1683="","",IF(MATCH(SUBSTITUTE(SUBSTITUTE(SUBSTITUTE(Z1683,"~","~~"),"*","~*"),"?","~?"),$Z$5:$Z$5004,0)=1679,MAX($AA$4:AA1682)+1,""))</f>
        <v/>
      </c>
    </row>
    <row r="1684" spans="1:27">
      <c r="A1684" s="9"/>
      <c r="Z1684">
        <f>TRIM(A1684&amp;"")</f>
        <v/>
      </c>
      <c r="AA1684">
        <f>IF(Z1684="","",IF(MATCH(SUBSTITUTE(SUBSTITUTE(SUBSTITUTE(Z1684,"~","~~"),"*","~*"),"?","~?"),$Z$5:$Z$5004,0)=1680,MAX($AA$4:AA1683)+1,""))</f>
        <v/>
      </c>
    </row>
    <row r="1685" spans="1:27">
      <c r="A1685" s="9"/>
      <c r="Z1685">
        <f>TRIM(A1685&amp;"")</f>
        <v/>
      </c>
      <c r="AA1685">
        <f>IF(Z1685="","",IF(MATCH(SUBSTITUTE(SUBSTITUTE(SUBSTITUTE(Z1685,"~","~~"),"*","~*"),"?","~?"),$Z$5:$Z$5004,0)=1681,MAX($AA$4:AA1684)+1,""))</f>
        <v/>
      </c>
    </row>
    <row r="1686" spans="1:27">
      <c r="A1686" s="9"/>
      <c r="Z1686">
        <f>TRIM(A1686&amp;"")</f>
        <v/>
      </c>
      <c r="AA1686">
        <f>IF(Z1686="","",IF(MATCH(SUBSTITUTE(SUBSTITUTE(SUBSTITUTE(Z1686,"~","~~"),"*","~*"),"?","~?"),$Z$5:$Z$5004,0)=1682,MAX($AA$4:AA1685)+1,""))</f>
        <v/>
      </c>
    </row>
    <row r="1687" spans="1:27">
      <c r="A1687" s="9"/>
      <c r="Z1687">
        <f>TRIM(A1687&amp;"")</f>
        <v/>
      </c>
      <c r="AA1687">
        <f>IF(Z1687="","",IF(MATCH(SUBSTITUTE(SUBSTITUTE(SUBSTITUTE(Z1687,"~","~~"),"*","~*"),"?","~?"),$Z$5:$Z$5004,0)=1683,MAX($AA$4:AA1686)+1,""))</f>
        <v/>
      </c>
    </row>
    <row r="1688" spans="1:27">
      <c r="A1688" s="9"/>
      <c r="Z1688">
        <f>TRIM(A1688&amp;"")</f>
        <v/>
      </c>
      <c r="AA1688">
        <f>IF(Z1688="","",IF(MATCH(SUBSTITUTE(SUBSTITUTE(SUBSTITUTE(Z1688,"~","~~"),"*","~*"),"?","~?"),$Z$5:$Z$5004,0)=1684,MAX($AA$4:AA1687)+1,""))</f>
        <v/>
      </c>
    </row>
    <row r="1689" spans="1:27">
      <c r="A1689" s="9"/>
      <c r="Z1689">
        <f>TRIM(A1689&amp;"")</f>
        <v/>
      </c>
      <c r="AA1689">
        <f>IF(Z1689="","",IF(MATCH(SUBSTITUTE(SUBSTITUTE(SUBSTITUTE(Z1689,"~","~~"),"*","~*"),"?","~?"),$Z$5:$Z$5004,0)=1685,MAX($AA$4:AA1688)+1,""))</f>
        <v/>
      </c>
    </row>
    <row r="1690" spans="1:27">
      <c r="A1690" s="9"/>
      <c r="Z1690">
        <f>TRIM(A1690&amp;"")</f>
        <v/>
      </c>
      <c r="AA1690">
        <f>IF(Z1690="","",IF(MATCH(SUBSTITUTE(SUBSTITUTE(SUBSTITUTE(Z1690,"~","~~"),"*","~*"),"?","~?"),$Z$5:$Z$5004,0)=1686,MAX($AA$4:AA1689)+1,""))</f>
        <v/>
      </c>
    </row>
    <row r="1691" spans="1:27">
      <c r="A1691" s="9"/>
      <c r="Z1691">
        <f>TRIM(A1691&amp;"")</f>
        <v/>
      </c>
      <c r="AA1691">
        <f>IF(Z1691="","",IF(MATCH(SUBSTITUTE(SUBSTITUTE(SUBSTITUTE(Z1691,"~","~~"),"*","~*"),"?","~?"),$Z$5:$Z$5004,0)=1687,MAX($AA$4:AA1690)+1,""))</f>
        <v/>
      </c>
    </row>
    <row r="1692" spans="1:27">
      <c r="A1692" s="9"/>
      <c r="Z1692">
        <f>TRIM(A1692&amp;"")</f>
        <v/>
      </c>
      <c r="AA1692">
        <f>IF(Z1692="","",IF(MATCH(SUBSTITUTE(SUBSTITUTE(SUBSTITUTE(Z1692,"~","~~"),"*","~*"),"?","~?"),$Z$5:$Z$5004,0)=1688,MAX($AA$4:AA1691)+1,""))</f>
        <v/>
      </c>
    </row>
    <row r="1693" spans="1:27">
      <c r="A1693" s="9"/>
      <c r="Z1693">
        <f>TRIM(A1693&amp;"")</f>
        <v/>
      </c>
      <c r="AA1693">
        <f>IF(Z1693="","",IF(MATCH(SUBSTITUTE(SUBSTITUTE(SUBSTITUTE(Z1693,"~","~~"),"*","~*"),"?","~?"),$Z$5:$Z$5004,0)=1689,MAX($AA$4:AA1692)+1,""))</f>
        <v/>
      </c>
    </row>
    <row r="1694" spans="1:27">
      <c r="A1694" s="9"/>
      <c r="Z1694">
        <f>TRIM(A1694&amp;"")</f>
        <v/>
      </c>
      <c r="AA1694">
        <f>IF(Z1694="","",IF(MATCH(SUBSTITUTE(SUBSTITUTE(SUBSTITUTE(Z1694,"~","~~"),"*","~*"),"?","~?"),$Z$5:$Z$5004,0)=1690,MAX($AA$4:AA1693)+1,""))</f>
        <v/>
      </c>
    </row>
    <row r="1695" spans="1:27">
      <c r="A1695" s="9"/>
      <c r="Z1695">
        <f>TRIM(A1695&amp;"")</f>
        <v/>
      </c>
      <c r="AA1695">
        <f>IF(Z1695="","",IF(MATCH(SUBSTITUTE(SUBSTITUTE(SUBSTITUTE(Z1695,"~","~~"),"*","~*"),"?","~?"),$Z$5:$Z$5004,0)=1691,MAX($AA$4:AA1694)+1,""))</f>
        <v/>
      </c>
    </row>
    <row r="1696" spans="1:27">
      <c r="A1696" s="9"/>
      <c r="Z1696">
        <f>TRIM(A1696&amp;"")</f>
        <v/>
      </c>
      <c r="AA1696">
        <f>IF(Z1696="","",IF(MATCH(SUBSTITUTE(SUBSTITUTE(SUBSTITUTE(Z1696,"~","~~"),"*","~*"),"?","~?"),$Z$5:$Z$5004,0)=1692,MAX($AA$4:AA1695)+1,""))</f>
        <v/>
      </c>
    </row>
    <row r="1697" spans="1:27">
      <c r="A1697" s="9"/>
      <c r="Z1697">
        <f>TRIM(A1697&amp;"")</f>
        <v/>
      </c>
      <c r="AA1697">
        <f>IF(Z1697="","",IF(MATCH(SUBSTITUTE(SUBSTITUTE(SUBSTITUTE(Z1697,"~","~~"),"*","~*"),"?","~?"),$Z$5:$Z$5004,0)=1693,MAX($AA$4:AA1696)+1,""))</f>
        <v/>
      </c>
    </row>
    <row r="1698" spans="1:27">
      <c r="A1698" s="9"/>
      <c r="Z1698">
        <f>TRIM(A1698&amp;"")</f>
        <v/>
      </c>
      <c r="AA1698">
        <f>IF(Z1698="","",IF(MATCH(SUBSTITUTE(SUBSTITUTE(SUBSTITUTE(Z1698,"~","~~"),"*","~*"),"?","~?"),$Z$5:$Z$5004,0)=1694,MAX($AA$4:AA1697)+1,""))</f>
        <v/>
      </c>
    </row>
    <row r="1699" spans="1:27">
      <c r="A1699" s="9"/>
      <c r="Z1699">
        <f>TRIM(A1699&amp;"")</f>
        <v/>
      </c>
      <c r="AA1699">
        <f>IF(Z1699="","",IF(MATCH(SUBSTITUTE(SUBSTITUTE(SUBSTITUTE(Z1699,"~","~~"),"*","~*"),"?","~?"),$Z$5:$Z$5004,0)=1695,MAX($AA$4:AA1698)+1,""))</f>
        <v/>
      </c>
    </row>
    <row r="1700" spans="1:27">
      <c r="A1700" s="9"/>
      <c r="Z1700">
        <f>TRIM(A1700&amp;"")</f>
        <v/>
      </c>
      <c r="AA1700">
        <f>IF(Z1700="","",IF(MATCH(SUBSTITUTE(SUBSTITUTE(SUBSTITUTE(Z1700,"~","~~"),"*","~*"),"?","~?"),$Z$5:$Z$5004,0)=1696,MAX($AA$4:AA1699)+1,""))</f>
        <v/>
      </c>
    </row>
    <row r="1701" spans="1:27">
      <c r="A1701" s="9"/>
      <c r="Z1701">
        <f>TRIM(A1701&amp;"")</f>
        <v/>
      </c>
      <c r="AA1701">
        <f>IF(Z1701="","",IF(MATCH(SUBSTITUTE(SUBSTITUTE(SUBSTITUTE(Z1701,"~","~~"),"*","~*"),"?","~?"),$Z$5:$Z$5004,0)=1697,MAX($AA$4:AA1700)+1,""))</f>
        <v/>
      </c>
    </row>
    <row r="1702" spans="1:27">
      <c r="A1702" s="9"/>
      <c r="Z1702">
        <f>TRIM(A1702&amp;"")</f>
        <v/>
      </c>
      <c r="AA1702">
        <f>IF(Z1702="","",IF(MATCH(SUBSTITUTE(SUBSTITUTE(SUBSTITUTE(Z1702,"~","~~"),"*","~*"),"?","~?"),$Z$5:$Z$5004,0)=1698,MAX($AA$4:AA1701)+1,""))</f>
        <v/>
      </c>
    </row>
    <row r="1703" spans="1:27">
      <c r="A1703" s="9"/>
      <c r="Z1703">
        <f>TRIM(A1703&amp;"")</f>
        <v/>
      </c>
      <c r="AA1703">
        <f>IF(Z1703="","",IF(MATCH(SUBSTITUTE(SUBSTITUTE(SUBSTITUTE(Z1703,"~","~~"),"*","~*"),"?","~?"),$Z$5:$Z$5004,0)=1699,MAX($AA$4:AA1702)+1,""))</f>
        <v/>
      </c>
    </row>
    <row r="1704" spans="1:27">
      <c r="A1704" s="9"/>
      <c r="Z1704">
        <f>TRIM(A1704&amp;"")</f>
        <v/>
      </c>
      <c r="AA1704">
        <f>IF(Z1704="","",IF(MATCH(SUBSTITUTE(SUBSTITUTE(SUBSTITUTE(Z1704,"~","~~"),"*","~*"),"?","~?"),$Z$5:$Z$5004,0)=1700,MAX($AA$4:AA1703)+1,""))</f>
        <v/>
      </c>
    </row>
    <row r="1705" spans="1:27">
      <c r="A1705" s="9"/>
      <c r="Z1705">
        <f>TRIM(A1705&amp;"")</f>
        <v/>
      </c>
      <c r="AA1705">
        <f>IF(Z1705="","",IF(MATCH(SUBSTITUTE(SUBSTITUTE(SUBSTITUTE(Z1705,"~","~~"),"*","~*"),"?","~?"),$Z$5:$Z$5004,0)=1701,MAX($AA$4:AA1704)+1,""))</f>
        <v/>
      </c>
    </row>
    <row r="1706" spans="1:27">
      <c r="A1706" s="9"/>
      <c r="Z1706">
        <f>TRIM(A1706&amp;"")</f>
        <v/>
      </c>
      <c r="AA1706">
        <f>IF(Z1706="","",IF(MATCH(SUBSTITUTE(SUBSTITUTE(SUBSTITUTE(Z1706,"~","~~"),"*","~*"),"?","~?"),$Z$5:$Z$5004,0)=1702,MAX($AA$4:AA1705)+1,""))</f>
        <v/>
      </c>
    </row>
    <row r="1707" spans="1:27">
      <c r="A1707" s="9"/>
      <c r="Z1707">
        <f>TRIM(A1707&amp;"")</f>
        <v/>
      </c>
      <c r="AA1707">
        <f>IF(Z1707="","",IF(MATCH(SUBSTITUTE(SUBSTITUTE(SUBSTITUTE(Z1707,"~","~~"),"*","~*"),"?","~?"),$Z$5:$Z$5004,0)=1703,MAX($AA$4:AA1706)+1,""))</f>
        <v/>
      </c>
    </row>
    <row r="1708" spans="1:27">
      <c r="A1708" s="9"/>
      <c r="Z1708">
        <f>TRIM(A1708&amp;"")</f>
        <v/>
      </c>
      <c r="AA1708">
        <f>IF(Z1708="","",IF(MATCH(SUBSTITUTE(SUBSTITUTE(SUBSTITUTE(Z1708,"~","~~"),"*","~*"),"?","~?"),$Z$5:$Z$5004,0)=1704,MAX($AA$4:AA1707)+1,""))</f>
        <v/>
      </c>
    </row>
    <row r="1709" spans="1:27">
      <c r="A1709" s="9"/>
      <c r="Z1709">
        <f>TRIM(A1709&amp;"")</f>
        <v/>
      </c>
      <c r="AA1709">
        <f>IF(Z1709="","",IF(MATCH(SUBSTITUTE(SUBSTITUTE(SUBSTITUTE(Z1709,"~","~~"),"*","~*"),"?","~?"),$Z$5:$Z$5004,0)=1705,MAX($AA$4:AA1708)+1,""))</f>
        <v/>
      </c>
    </row>
    <row r="1710" spans="1:27">
      <c r="A1710" s="9"/>
      <c r="Z1710">
        <f>TRIM(A1710&amp;"")</f>
        <v/>
      </c>
      <c r="AA1710">
        <f>IF(Z1710="","",IF(MATCH(SUBSTITUTE(SUBSTITUTE(SUBSTITUTE(Z1710,"~","~~"),"*","~*"),"?","~?"),$Z$5:$Z$5004,0)=1706,MAX($AA$4:AA1709)+1,""))</f>
        <v/>
      </c>
    </row>
    <row r="1711" spans="1:27">
      <c r="A1711" s="9"/>
      <c r="Z1711">
        <f>TRIM(A1711&amp;"")</f>
        <v/>
      </c>
      <c r="AA1711">
        <f>IF(Z1711="","",IF(MATCH(SUBSTITUTE(SUBSTITUTE(SUBSTITUTE(Z1711,"~","~~"),"*","~*"),"?","~?"),$Z$5:$Z$5004,0)=1707,MAX($AA$4:AA1710)+1,""))</f>
        <v/>
      </c>
    </row>
    <row r="1712" spans="1:27">
      <c r="A1712" s="9"/>
      <c r="Z1712">
        <f>TRIM(A1712&amp;"")</f>
        <v/>
      </c>
      <c r="AA1712">
        <f>IF(Z1712="","",IF(MATCH(SUBSTITUTE(SUBSTITUTE(SUBSTITUTE(Z1712,"~","~~"),"*","~*"),"?","~?"),$Z$5:$Z$5004,0)=1708,MAX($AA$4:AA1711)+1,""))</f>
        <v/>
      </c>
    </row>
    <row r="1713" spans="1:27">
      <c r="A1713" s="9"/>
      <c r="Z1713">
        <f>TRIM(A1713&amp;"")</f>
        <v/>
      </c>
      <c r="AA1713">
        <f>IF(Z1713="","",IF(MATCH(SUBSTITUTE(SUBSTITUTE(SUBSTITUTE(Z1713,"~","~~"),"*","~*"),"?","~?"),$Z$5:$Z$5004,0)=1709,MAX($AA$4:AA1712)+1,""))</f>
        <v/>
      </c>
    </row>
    <row r="1714" spans="1:27">
      <c r="A1714" s="9"/>
      <c r="Z1714">
        <f>TRIM(A1714&amp;"")</f>
        <v/>
      </c>
      <c r="AA1714">
        <f>IF(Z1714="","",IF(MATCH(SUBSTITUTE(SUBSTITUTE(SUBSTITUTE(Z1714,"~","~~"),"*","~*"),"?","~?"),$Z$5:$Z$5004,0)=1710,MAX($AA$4:AA1713)+1,""))</f>
        <v/>
      </c>
    </row>
    <row r="1715" spans="1:27">
      <c r="A1715" s="9"/>
      <c r="Z1715">
        <f>TRIM(A1715&amp;"")</f>
        <v/>
      </c>
      <c r="AA1715">
        <f>IF(Z1715="","",IF(MATCH(SUBSTITUTE(SUBSTITUTE(SUBSTITUTE(Z1715,"~","~~"),"*","~*"),"?","~?"),$Z$5:$Z$5004,0)=1711,MAX($AA$4:AA1714)+1,""))</f>
        <v/>
      </c>
    </row>
    <row r="1716" spans="1:27">
      <c r="A1716" s="9"/>
      <c r="Z1716">
        <f>TRIM(A1716&amp;"")</f>
        <v/>
      </c>
      <c r="AA1716">
        <f>IF(Z1716="","",IF(MATCH(SUBSTITUTE(SUBSTITUTE(SUBSTITUTE(Z1716,"~","~~"),"*","~*"),"?","~?"),$Z$5:$Z$5004,0)=1712,MAX($AA$4:AA1715)+1,""))</f>
        <v/>
      </c>
    </row>
    <row r="1717" spans="1:27">
      <c r="A1717" s="9"/>
      <c r="Z1717">
        <f>TRIM(A1717&amp;"")</f>
        <v/>
      </c>
      <c r="AA1717">
        <f>IF(Z1717="","",IF(MATCH(SUBSTITUTE(SUBSTITUTE(SUBSTITUTE(Z1717,"~","~~"),"*","~*"),"?","~?"),$Z$5:$Z$5004,0)=1713,MAX($AA$4:AA1716)+1,""))</f>
        <v/>
      </c>
    </row>
    <row r="1718" spans="1:27">
      <c r="A1718" s="9"/>
      <c r="Z1718">
        <f>TRIM(A1718&amp;"")</f>
        <v/>
      </c>
      <c r="AA1718">
        <f>IF(Z1718="","",IF(MATCH(SUBSTITUTE(SUBSTITUTE(SUBSTITUTE(Z1718,"~","~~"),"*","~*"),"?","~?"),$Z$5:$Z$5004,0)=1714,MAX($AA$4:AA1717)+1,""))</f>
        <v/>
      </c>
    </row>
    <row r="1719" spans="1:27">
      <c r="A1719" s="9"/>
      <c r="Z1719">
        <f>TRIM(A1719&amp;"")</f>
        <v/>
      </c>
      <c r="AA1719">
        <f>IF(Z1719="","",IF(MATCH(SUBSTITUTE(SUBSTITUTE(SUBSTITUTE(Z1719,"~","~~"),"*","~*"),"?","~?"),$Z$5:$Z$5004,0)=1715,MAX($AA$4:AA1718)+1,""))</f>
        <v/>
      </c>
    </row>
    <row r="1720" spans="1:27">
      <c r="A1720" s="9"/>
      <c r="Z1720">
        <f>TRIM(A1720&amp;"")</f>
        <v/>
      </c>
      <c r="AA1720">
        <f>IF(Z1720="","",IF(MATCH(SUBSTITUTE(SUBSTITUTE(SUBSTITUTE(Z1720,"~","~~"),"*","~*"),"?","~?"),$Z$5:$Z$5004,0)=1716,MAX($AA$4:AA1719)+1,""))</f>
        <v/>
      </c>
    </row>
    <row r="1721" spans="1:27">
      <c r="A1721" s="9"/>
      <c r="Z1721">
        <f>TRIM(A1721&amp;"")</f>
        <v/>
      </c>
      <c r="AA1721">
        <f>IF(Z1721="","",IF(MATCH(SUBSTITUTE(SUBSTITUTE(SUBSTITUTE(Z1721,"~","~~"),"*","~*"),"?","~?"),$Z$5:$Z$5004,0)=1717,MAX($AA$4:AA1720)+1,""))</f>
        <v/>
      </c>
    </row>
    <row r="1722" spans="1:27">
      <c r="A1722" s="9"/>
      <c r="Z1722">
        <f>TRIM(A1722&amp;"")</f>
        <v/>
      </c>
      <c r="AA1722">
        <f>IF(Z1722="","",IF(MATCH(SUBSTITUTE(SUBSTITUTE(SUBSTITUTE(Z1722,"~","~~"),"*","~*"),"?","~?"),$Z$5:$Z$5004,0)=1718,MAX($AA$4:AA1721)+1,""))</f>
        <v/>
      </c>
    </row>
    <row r="1723" spans="1:27">
      <c r="A1723" s="9"/>
      <c r="Z1723">
        <f>TRIM(A1723&amp;"")</f>
        <v/>
      </c>
      <c r="AA1723">
        <f>IF(Z1723="","",IF(MATCH(SUBSTITUTE(SUBSTITUTE(SUBSTITUTE(Z1723,"~","~~"),"*","~*"),"?","~?"),$Z$5:$Z$5004,0)=1719,MAX($AA$4:AA1722)+1,""))</f>
        <v/>
      </c>
    </row>
    <row r="1724" spans="1:27">
      <c r="A1724" s="9"/>
      <c r="Z1724">
        <f>TRIM(A1724&amp;"")</f>
        <v/>
      </c>
      <c r="AA1724">
        <f>IF(Z1724="","",IF(MATCH(SUBSTITUTE(SUBSTITUTE(SUBSTITUTE(Z1724,"~","~~"),"*","~*"),"?","~?"),$Z$5:$Z$5004,0)=1720,MAX($AA$4:AA1723)+1,""))</f>
        <v/>
      </c>
    </row>
    <row r="1725" spans="1:27">
      <c r="A1725" s="9"/>
      <c r="Z1725">
        <f>TRIM(A1725&amp;"")</f>
        <v/>
      </c>
      <c r="AA1725">
        <f>IF(Z1725="","",IF(MATCH(SUBSTITUTE(SUBSTITUTE(SUBSTITUTE(Z1725,"~","~~"),"*","~*"),"?","~?"),$Z$5:$Z$5004,0)=1721,MAX($AA$4:AA1724)+1,""))</f>
        <v/>
      </c>
    </row>
    <row r="1726" spans="1:27">
      <c r="A1726" s="9"/>
      <c r="Z1726">
        <f>TRIM(A1726&amp;"")</f>
        <v/>
      </c>
      <c r="AA1726">
        <f>IF(Z1726="","",IF(MATCH(SUBSTITUTE(SUBSTITUTE(SUBSTITUTE(Z1726,"~","~~"),"*","~*"),"?","~?"),$Z$5:$Z$5004,0)=1722,MAX($AA$4:AA1725)+1,""))</f>
        <v/>
      </c>
    </row>
    <row r="1727" spans="1:27">
      <c r="A1727" s="9"/>
      <c r="Z1727">
        <f>TRIM(A1727&amp;"")</f>
        <v/>
      </c>
      <c r="AA1727">
        <f>IF(Z1727="","",IF(MATCH(SUBSTITUTE(SUBSTITUTE(SUBSTITUTE(Z1727,"~","~~"),"*","~*"),"?","~?"),$Z$5:$Z$5004,0)=1723,MAX($AA$4:AA1726)+1,""))</f>
        <v/>
      </c>
    </row>
    <row r="1728" spans="1:27">
      <c r="A1728" s="9"/>
      <c r="Z1728">
        <f>TRIM(A1728&amp;"")</f>
        <v/>
      </c>
      <c r="AA1728">
        <f>IF(Z1728="","",IF(MATCH(SUBSTITUTE(SUBSTITUTE(SUBSTITUTE(Z1728,"~","~~"),"*","~*"),"?","~?"),$Z$5:$Z$5004,0)=1724,MAX($AA$4:AA1727)+1,""))</f>
        <v/>
      </c>
    </row>
    <row r="1729" spans="1:27">
      <c r="A1729" s="9"/>
      <c r="Z1729">
        <f>TRIM(A1729&amp;"")</f>
        <v/>
      </c>
      <c r="AA1729">
        <f>IF(Z1729="","",IF(MATCH(SUBSTITUTE(SUBSTITUTE(SUBSTITUTE(Z1729,"~","~~"),"*","~*"),"?","~?"),$Z$5:$Z$5004,0)=1725,MAX($AA$4:AA1728)+1,""))</f>
        <v/>
      </c>
    </row>
    <row r="1730" spans="1:27">
      <c r="A1730" s="9"/>
      <c r="Z1730">
        <f>TRIM(A1730&amp;"")</f>
        <v/>
      </c>
      <c r="AA1730">
        <f>IF(Z1730="","",IF(MATCH(SUBSTITUTE(SUBSTITUTE(SUBSTITUTE(Z1730,"~","~~"),"*","~*"),"?","~?"),$Z$5:$Z$5004,0)=1726,MAX($AA$4:AA1729)+1,""))</f>
        <v/>
      </c>
    </row>
    <row r="1731" spans="1:27">
      <c r="A1731" s="9"/>
      <c r="Z1731">
        <f>TRIM(A1731&amp;"")</f>
        <v/>
      </c>
      <c r="AA1731">
        <f>IF(Z1731="","",IF(MATCH(SUBSTITUTE(SUBSTITUTE(SUBSTITUTE(Z1731,"~","~~"),"*","~*"),"?","~?"),$Z$5:$Z$5004,0)=1727,MAX($AA$4:AA1730)+1,""))</f>
        <v/>
      </c>
    </row>
    <row r="1732" spans="1:27">
      <c r="A1732" s="9"/>
      <c r="Z1732">
        <f>TRIM(A1732&amp;"")</f>
        <v/>
      </c>
      <c r="AA1732">
        <f>IF(Z1732="","",IF(MATCH(SUBSTITUTE(SUBSTITUTE(SUBSTITUTE(Z1732,"~","~~"),"*","~*"),"?","~?"),$Z$5:$Z$5004,0)=1728,MAX($AA$4:AA1731)+1,""))</f>
        <v/>
      </c>
    </row>
    <row r="1733" spans="1:27">
      <c r="A1733" s="9"/>
      <c r="Z1733">
        <f>TRIM(A1733&amp;"")</f>
        <v/>
      </c>
      <c r="AA1733">
        <f>IF(Z1733="","",IF(MATCH(SUBSTITUTE(SUBSTITUTE(SUBSTITUTE(Z1733,"~","~~"),"*","~*"),"?","~?"),$Z$5:$Z$5004,0)=1729,MAX($AA$4:AA1732)+1,""))</f>
        <v/>
      </c>
    </row>
    <row r="1734" spans="1:27">
      <c r="A1734" s="9"/>
      <c r="Z1734">
        <f>TRIM(A1734&amp;"")</f>
        <v/>
      </c>
      <c r="AA1734">
        <f>IF(Z1734="","",IF(MATCH(SUBSTITUTE(SUBSTITUTE(SUBSTITUTE(Z1734,"~","~~"),"*","~*"),"?","~?"),$Z$5:$Z$5004,0)=1730,MAX($AA$4:AA1733)+1,""))</f>
        <v/>
      </c>
    </row>
    <row r="1735" spans="1:27">
      <c r="A1735" s="9"/>
      <c r="Z1735">
        <f>TRIM(A1735&amp;"")</f>
        <v/>
      </c>
      <c r="AA1735">
        <f>IF(Z1735="","",IF(MATCH(SUBSTITUTE(SUBSTITUTE(SUBSTITUTE(Z1735,"~","~~"),"*","~*"),"?","~?"),$Z$5:$Z$5004,0)=1731,MAX($AA$4:AA1734)+1,""))</f>
        <v/>
      </c>
    </row>
    <row r="1736" spans="1:27">
      <c r="A1736" s="9"/>
      <c r="Z1736">
        <f>TRIM(A1736&amp;"")</f>
        <v/>
      </c>
      <c r="AA1736">
        <f>IF(Z1736="","",IF(MATCH(SUBSTITUTE(SUBSTITUTE(SUBSTITUTE(Z1736,"~","~~"),"*","~*"),"?","~?"),$Z$5:$Z$5004,0)=1732,MAX($AA$4:AA1735)+1,""))</f>
        <v/>
      </c>
    </row>
    <row r="1737" spans="1:27">
      <c r="A1737" s="9"/>
      <c r="Z1737">
        <f>TRIM(A1737&amp;"")</f>
        <v/>
      </c>
      <c r="AA1737">
        <f>IF(Z1737="","",IF(MATCH(SUBSTITUTE(SUBSTITUTE(SUBSTITUTE(Z1737,"~","~~"),"*","~*"),"?","~?"),$Z$5:$Z$5004,0)=1733,MAX($AA$4:AA1736)+1,""))</f>
        <v/>
      </c>
    </row>
    <row r="1738" spans="1:27">
      <c r="A1738" s="9"/>
      <c r="Z1738">
        <f>TRIM(A1738&amp;"")</f>
        <v/>
      </c>
      <c r="AA1738">
        <f>IF(Z1738="","",IF(MATCH(SUBSTITUTE(SUBSTITUTE(SUBSTITUTE(Z1738,"~","~~"),"*","~*"),"?","~?"),$Z$5:$Z$5004,0)=1734,MAX($AA$4:AA1737)+1,""))</f>
        <v/>
      </c>
    </row>
    <row r="1739" spans="1:27">
      <c r="A1739" s="9"/>
      <c r="Z1739">
        <f>TRIM(A1739&amp;"")</f>
        <v/>
      </c>
      <c r="AA1739">
        <f>IF(Z1739="","",IF(MATCH(SUBSTITUTE(SUBSTITUTE(SUBSTITUTE(Z1739,"~","~~"),"*","~*"),"?","~?"),$Z$5:$Z$5004,0)=1735,MAX($AA$4:AA1738)+1,""))</f>
        <v/>
      </c>
    </row>
    <row r="1740" spans="1:27">
      <c r="A1740" s="9"/>
      <c r="Z1740">
        <f>TRIM(A1740&amp;"")</f>
        <v/>
      </c>
      <c r="AA1740">
        <f>IF(Z1740="","",IF(MATCH(SUBSTITUTE(SUBSTITUTE(SUBSTITUTE(Z1740,"~","~~"),"*","~*"),"?","~?"),$Z$5:$Z$5004,0)=1736,MAX($AA$4:AA1739)+1,""))</f>
        <v/>
      </c>
    </row>
    <row r="1741" spans="1:27">
      <c r="A1741" s="9"/>
      <c r="Z1741">
        <f>TRIM(A1741&amp;"")</f>
        <v/>
      </c>
      <c r="AA1741">
        <f>IF(Z1741="","",IF(MATCH(SUBSTITUTE(SUBSTITUTE(SUBSTITUTE(Z1741,"~","~~"),"*","~*"),"?","~?"),$Z$5:$Z$5004,0)=1737,MAX($AA$4:AA1740)+1,""))</f>
        <v/>
      </c>
    </row>
    <row r="1742" spans="1:27">
      <c r="A1742" s="9"/>
      <c r="Z1742">
        <f>TRIM(A1742&amp;"")</f>
        <v/>
      </c>
      <c r="AA1742">
        <f>IF(Z1742="","",IF(MATCH(SUBSTITUTE(SUBSTITUTE(SUBSTITUTE(Z1742,"~","~~"),"*","~*"),"?","~?"),$Z$5:$Z$5004,0)=1738,MAX($AA$4:AA1741)+1,""))</f>
        <v/>
      </c>
    </row>
    <row r="1743" spans="1:27">
      <c r="A1743" s="9"/>
      <c r="Z1743">
        <f>TRIM(A1743&amp;"")</f>
        <v/>
      </c>
      <c r="AA1743">
        <f>IF(Z1743="","",IF(MATCH(SUBSTITUTE(SUBSTITUTE(SUBSTITUTE(Z1743,"~","~~"),"*","~*"),"?","~?"),$Z$5:$Z$5004,0)=1739,MAX($AA$4:AA1742)+1,""))</f>
        <v/>
      </c>
    </row>
    <row r="1744" spans="1:27">
      <c r="A1744" s="9"/>
      <c r="Z1744">
        <f>TRIM(A1744&amp;"")</f>
        <v/>
      </c>
      <c r="AA1744">
        <f>IF(Z1744="","",IF(MATCH(SUBSTITUTE(SUBSTITUTE(SUBSTITUTE(Z1744,"~","~~"),"*","~*"),"?","~?"),$Z$5:$Z$5004,0)=1740,MAX($AA$4:AA1743)+1,""))</f>
        <v/>
      </c>
    </row>
    <row r="1745" spans="1:27">
      <c r="A1745" s="9"/>
      <c r="Z1745">
        <f>TRIM(A1745&amp;"")</f>
        <v/>
      </c>
      <c r="AA1745">
        <f>IF(Z1745="","",IF(MATCH(SUBSTITUTE(SUBSTITUTE(SUBSTITUTE(Z1745,"~","~~"),"*","~*"),"?","~?"),$Z$5:$Z$5004,0)=1741,MAX($AA$4:AA1744)+1,""))</f>
        <v/>
      </c>
    </row>
    <row r="1746" spans="1:27">
      <c r="A1746" s="9"/>
      <c r="Z1746">
        <f>TRIM(A1746&amp;"")</f>
        <v/>
      </c>
      <c r="AA1746">
        <f>IF(Z1746="","",IF(MATCH(SUBSTITUTE(SUBSTITUTE(SUBSTITUTE(Z1746,"~","~~"),"*","~*"),"?","~?"),$Z$5:$Z$5004,0)=1742,MAX($AA$4:AA1745)+1,""))</f>
        <v/>
      </c>
    </row>
    <row r="1747" spans="1:27">
      <c r="A1747" s="9"/>
      <c r="Z1747">
        <f>TRIM(A1747&amp;"")</f>
        <v/>
      </c>
      <c r="AA1747">
        <f>IF(Z1747="","",IF(MATCH(SUBSTITUTE(SUBSTITUTE(SUBSTITUTE(Z1747,"~","~~"),"*","~*"),"?","~?"),$Z$5:$Z$5004,0)=1743,MAX($AA$4:AA1746)+1,""))</f>
        <v/>
      </c>
    </row>
    <row r="1748" spans="1:27">
      <c r="A1748" s="9"/>
      <c r="Z1748">
        <f>TRIM(A1748&amp;"")</f>
        <v/>
      </c>
      <c r="AA1748">
        <f>IF(Z1748="","",IF(MATCH(SUBSTITUTE(SUBSTITUTE(SUBSTITUTE(Z1748,"~","~~"),"*","~*"),"?","~?"),$Z$5:$Z$5004,0)=1744,MAX($AA$4:AA1747)+1,""))</f>
        <v/>
      </c>
    </row>
    <row r="1749" spans="1:27">
      <c r="A1749" s="9"/>
      <c r="Z1749">
        <f>TRIM(A1749&amp;"")</f>
        <v/>
      </c>
      <c r="AA1749">
        <f>IF(Z1749="","",IF(MATCH(SUBSTITUTE(SUBSTITUTE(SUBSTITUTE(Z1749,"~","~~"),"*","~*"),"?","~?"),$Z$5:$Z$5004,0)=1745,MAX($AA$4:AA1748)+1,""))</f>
        <v/>
      </c>
    </row>
    <row r="1750" spans="1:27">
      <c r="A1750" s="9"/>
      <c r="Z1750">
        <f>TRIM(A1750&amp;"")</f>
        <v/>
      </c>
      <c r="AA1750">
        <f>IF(Z1750="","",IF(MATCH(SUBSTITUTE(SUBSTITUTE(SUBSTITUTE(Z1750,"~","~~"),"*","~*"),"?","~?"),$Z$5:$Z$5004,0)=1746,MAX($AA$4:AA1749)+1,""))</f>
        <v/>
      </c>
    </row>
    <row r="1751" spans="1:27">
      <c r="A1751" s="9"/>
      <c r="Z1751">
        <f>TRIM(A1751&amp;"")</f>
        <v/>
      </c>
      <c r="AA1751">
        <f>IF(Z1751="","",IF(MATCH(SUBSTITUTE(SUBSTITUTE(SUBSTITUTE(Z1751,"~","~~"),"*","~*"),"?","~?"),$Z$5:$Z$5004,0)=1747,MAX($AA$4:AA1750)+1,""))</f>
        <v/>
      </c>
    </row>
    <row r="1752" spans="1:27">
      <c r="A1752" s="9"/>
      <c r="Z1752">
        <f>TRIM(A1752&amp;"")</f>
        <v/>
      </c>
      <c r="AA1752">
        <f>IF(Z1752="","",IF(MATCH(SUBSTITUTE(SUBSTITUTE(SUBSTITUTE(Z1752,"~","~~"),"*","~*"),"?","~?"),$Z$5:$Z$5004,0)=1748,MAX($AA$4:AA1751)+1,""))</f>
        <v/>
      </c>
    </row>
    <row r="1753" spans="1:27">
      <c r="A1753" s="9"/>
      <c r="Z1753">
        <f>TRIM(A1753&amp;"")</f>
        <v/>
      </c>
      <c r="AA1753">
        <f>IF(Z1753="","",IF(MATCH(SUBSTITUTE(SUBSTITUTE(SUBSTITUTE(Z1753,"~","~~"),"*","~*"),"?","~?"),$Z$5:$Z$5004,0)=1749,MAX($AA$4:AA1752)+1,""))</f>
        <v/>
      </c>
    </row>
    <row r="1754" spans="1:27">
      <c r="A1754" s="9"/>
      <c r="Z1754">
        <f>TRIM(A1754&amp;"")</f>
        <v/>
      </c>
      <c r="AA1754">
        <f>IF(Z1754="","",IF(MATCH(SUBSTITUTE(SUBSTITUTE(SUBSTITUTE(Z1754,"~","~~"),"*","~*"),"?","~?"),$Z$5:$Z$5004,0)=1750,MAX($AA$4:AA1753)+1,""))</f>
        <v/>
      </c>
    </row>
    <row r="1755" spans="1:27">
      <c r="A1755" s="9"/>
      <c r="Z1755">
        <f>TRIM(A1755&amp;"")</f>
        <v/>
      </c>
      <c r="AA1755">
        <f>IF(Z1755="","",IF(MATCH(SUBSTITUTE(SUBSTITUTE(SUBSTITUTE(Z1755,"~","~~"),"*","~*"),"?","~?"),$Z$5:$Z$5004,0)=1751,MAX($AA$4:AA1754)+1,""))</f>
        <v/>
      </c>
    </row>
    <row r="1756" spans="1:27">
      <c r="A1756" s="9"/>
      <c r="Z1756">
        <f>TRIM(A1756&amp;"")</f>
        <v/>
      </c>
      <c r="AA1756">
        <f>IF(Z1756="","",IF(MATCH(SUBSTITUTE(SUBSTITUTE(SUBSTITUTE(Z1756,"~","~~"),"*","~*"),"?","~?"),$Z$5:$Z$5004,0)=1752,MAX($AA$4:AA1755)+1,""))</f>
        <v/>
      </c>
    </row>
    <row r="1757" spans="1:27">
      <c r="A1757" s="9"/>
      <c r="Z1757">
        <f>TRIM(A1757&amp;"")</f>
        <v/>
      </c>
      <c r="AA1757">
        <f>IF(Z1757="","",IF(MATCH(SUBSTITUTE(SUBSTITUTE(SUBSTITUTE(Z1757,"~","~~"),"*","~*"),"?","~?"),$Z$5:$Z$5004,0)=1753,MAX($AA$4:AA1756)+1,""))</f>
        <v/>
      </c>
    </row>
    <row r="1758" spans="1:27">
      <c r="A1758" s="9"/>
      <c r="Z1758">
        <f>TRIM(A1758&amp;"")</f>
        <v/>
      </c>
      <c r="AA1758">
        <f>IF(Z1758="","",IF(MATCH(SUBSTITUTE(SUBSTITUTE(SUBSTITUTE(Z1758,"~","~~"),"*","~*"),"?","~?"),$Z$5:$Z$5004,0)=1754,MAX($AA$4:AA1757)+1,""))</f>
        <v/>
      </c>
    </row>
    <row r="1759" spans="1:27">
      <c r="A1759" s="9"/>
      <c r="Z1759">
        <f>TRIM(A1759&amp;"")</f>
        <v/>
      </c>
      <c r="AA1759">
        <f>IF(Z1759="","",IF(MATCH(SUBSTITUTE(SUBSTITUTE(SUBSTITUTE(Z1759,"~","~~"),"*","~*"),"?","~?"),$Z$5:$Z$5004,0)=1755,MAX($AA$4:AA1758)+1,""))</f>
        <v/>
      </c>
    </row>
    <row r="1760" spans="1:27">
      <c r="A1760" s="9"/>
      <c r="Z1760">
        <f>TRIM(A1760&amp;"")</f>
        <v/>
      </c>
      <c r="AA1760">
        <f>IF(Z1760="","",IF(MATCH(SUBSTITUTE(SUBSTITUTE(SUBSTITUTE(Z1760,"~","~~"),"*","~*"),"?","~?"),$Z$5:$Z$5004,0)=1756,MAX($AA$4:AA1759)+1,""))</f>
        <v/>
      </c>
    </row>
    <row r="1761" spans="1:27">
      <c r="A1761" s="9"/>
      <c r="Z1761">
        <f>TRIM(A1761&amp;"")</f>
        <v/>
      </c>
      <c r="AA1761">
        <f>IF(Z1761="","",IF(MATCH(SUBSTITUTE(SUBSTITUTE(SUBSTITUTE(Z1761,"~","~~"),"*","~*"),"?","~?"),$Z$5:$Z$5004,0)=1757,MAX($AA$4:AA1760)+1,""))</f>
        <v/>
      </c>
    </row>
    <row r="1762" spans="1:27">
      <c r="A1762" s="9"/>
      <c r="Z1762">
        <f>TRIM(A1762&amp;"")</f>
        <v/>
      </c>
      <c r="AA1762">
        <f>IF(Z1762="","",IF(MATCH(SUBSTITUTE(SUBSTITUTE(SUBSTITUTE(Z1762,"~","~~"),"*","~*"),"?","~?"),$Z$5:$Z$5004,0)=1758,MAX($AA$4:AA1761)+1,""))</f>
        <v/>
      </c>
    </row>
    <row r="1763" spans="1:27">
      <c r="A1763" s="9"/>
      <c r="Z1763">
        <f>TRIM(A1763&amp;"")</f>
        <v/>
      </c>
      <c r="AA1763">
        <f>IF(Z1763="","",IF(MATCH(SUBSTITUTE(SUBSTITUTE(SUBSTITUTE(Z1763,"~","~~"),"*","~*"),"?","~?"),$Z$5:$Z$5004,0)=1759,MAX($AA$4:AA1762)+1,""))</f>
        <v/>
      </c>
    </row>
    <row r="1764" spans="1:27">
      <c r="A1764" s="9"/>
      <c r="Z1764">
        <f>TRIM(A1764&amp;"")</f>
        <v/>
      </c>
      <c r="AA1764">
        <f>IF(Z1764="","",IF(MATCH(SUBSTITUTE(SUBSTITUTE(SUBSTITUTE(Z1764,"~","~~"),"*","~*"),"?","~?"),$Z$5:$Z$5004,0)=1760,MAX($AA$4:AA1763)+1,""))</f>
        <v/>
      </c>
    </row>
    <row r="1765" spans="1:27">
      <c r="A1765" s="9"/>
      <c r="Z1765">
        <f>TRIM(A1765&amp;"")</f>
        <v/>
      </c>
      <c r="AA1765">
        <f>IF(Z1765="","",IF(MATCH(SUBSTITUTE(SUBSTITUTE(SUBSTITUTE(Z1765,"~","~~"),"*","~*"),"?","~?"),$Z$5:$Z$5004,0)=1761,MAX($AA$4:AA1764)+1,""))</f>
        <v/>
      </c>
    </row>
    <row r="1766" spans="1:27">
      <c r="A1766" s="9"/>
      <c r="Z1766">
        <f>TRIM(A1766&amp;"")</f>
        <v/>
      </c>
      <c r="AA1766">
        <f>IF(Z1766="","",IF(MATCH(SUBSTITUTE(SUBSTITUTE(SUBSTITUTE(Z1766,"~","~~"),"*","~*"),"?","~?"),$Z$5:$Z$5004,0)=1762,MAX($AA$4:AA1765)+1,""))</f>
        <v/>
      </c>
    </row>
    <row r="1767" spans="1:27">
      <c r="A1767" s="9"/>
      <c r="Z1767">
        <f>TRIM(A1767&amp;"")</f>
        <v/>
      </c>
      <c r="AA1767">
        <f>IF(Z1767="","",IF(MATCH(SUBSTITUTE(SUBSTITUTE(SUBSTITUTE(Z1767,"~","~~"),"*","~*"),"?","~?"),$Z$5:$Z$5004,0)=1763,MAX($AA$4:AA1766)+1,""))</f>
        <v/>
      </c>
    </row>
    <row r="1768" spans="1:27">
      <c r="A1768" s="9"/>
      <c r="Z1768">
        <f>TRIM(A1768&amp;"")</f>
        <v/>
      </c>
      <c r="AA1768">
        <f>IF(Z1768="","",IF(MATCH(SUBSTITUTE(SUBSTITUTE(SUBSTITUTE(Z1768,"~","~~"),"*","~*"),"?","~?"),$Z$5:$Z$5004,0)=1764,MAX($AA$4:AA1767)+1,""))</f>
        <v/>
      </c>
    </row>
    <row r="1769" spans="1:27">
      <c r="A1769" s="9"/>
      <c r="Z1769">
        <f>TRIM(A1769&amp;"")</f>
        <v/>
      </c>
      <c r="AA1769">
        <f>IF(Z1769="","",IF(MATCH(SUBSTITUTE(SUBSTITUTE(SUBSTITUTE(Z1769,"~","~~"),"*","~*"),"?","~?"),$Z$5:$Z$5004,0)=1765,MAX($AA$4:AA1768)+1,""))</f>
        <v/>
      </c>
    </row>
    <row r="1770" spans="1:27">
      <c r="A1770" s="9"/>
      <c r="Z1770">
        <f>TRIM(A1770&amp;"")</f>
        <v/>
      </c>
      <c r="AA1770">
        <f>IF(Z1770="","",IF(MATCH(SUBSTITUTE(SUBSTITUTE(SUBSTITUTE(Z1770,"~","~~"),"*","~*"),"?","~?"),$Z$5:$Z$5004,0)=1766,MAX($AA$4:AA1769)+1,""))</f>
        <v/>
      </c>
    </row>
    <row r="1771" spans="1:27">
      <c r="A1771" s="9"/>
      <c r="Z1771">
        <f>TRIM(A1771&amp;"")</f>
        <v/>
      </c>
      <c r="AA1771">
        <f>IF(Z1771="","",IF(MATCH(SUBSTITUTE(SUBSTITUTE(SUBSTITUTE(Z1771,"~","~~"),"*","~*"),"?","~?"),$Z$5:$Z$5004,0)=1767,MAX($AA$4:AA1770)+1,""))</f>
        <v/>
      </c>
    </row>
    <row r="1772" spans="1:27">
      <c r="A1772" s="9"/>
      <c r="Z1772">
        <f>TRIM(A1772&amp;"")</f>
        <v/>
      </c>
      <c r="AA1772">
        <f>IF(Z1772="","",IF(MATCH(SUBSTITUTE(SUBSTITUTE(SUBSTITUTE(Z1772,"~","~~"),"*","~*"),"?","~?"),$Z$5:$Z$5004,0)=1768,MAX($AA$4:AA1771)+1,""))</f>
        <v/>
      </c>
    </row>
    <row r="1773" spans="1:27">
      <c r="A1773" s="9"/>
      <c r="Z1773">
        <f>TRIM(A1773&amp;"")</f>
        <v/>
      </c>
      <c r="AA1773">
        <f>IF(Z1773="","",IF(MATCH(SUBSTITUTE(SUBSTITUTE(SUBSTITUTE(Z1773,"~","~~"),"*","~*"),"?","~?"),$Z$5:$Z$5004,0)=1769,MAX($AA$4:AA1772)+1,""))</f>
        <v/>
      </c>
    </row>
    <row r="1774" spans="1:27">
      <c r="A1774" s="9"/>
      <c r="Z1774">
        <f>TRIM(A1774&amp;"")</f>
        <v/>
      </c>
      <c r="AA1774">
        <f>IF(Z1774="","",IF(MATCH(SUBSTITUTE(SUBSTITUTE(SUBSTITUTE(Z1774,"~","~~"),"*","~*"),"?","~?"),$Z$5:$Z$5004,0)=1770,MAX($AA$4:AA1773)+1,""))</f>
        <v/>
      </c>
    </row>
    <row r="1775" spans="1:27">
      <c r="A1775" s="9"/>
      <c r="Z1775">
        <f>TRIM(A1775&amp;"")</f>
        <v/>
      </c>
      <c r="AA1775">
        <f>IF(Z1775="","",IF(MATCH(SUBSTITUTE(SUBSTITUTE(SUBSTITUTE(Z1775,"~","~~"),"*","~*"),"?","~?"),$Z$5:$Z$5004,0)=1771,MAX($AA$4:AA1774)+1,""))</f>
        <v/>
      </c>
    </row>
    <row r="1776" spans="1:27">
      <c r="A1776" s="9"/>
      <c r="Z1776">
        <f>TRIM(A1776&amp;"")</f>
        <v/>
      </c>
      <c r="AA1776">
        <f>IF(Z1776="","",IF(MATCH(SUBSTITUTE(SUBSTITUTE(SUBSTITUTE(Z1776,"~","~~"),"*","~*"),"?","~?"),$Z$5:$Z$5004,0)=1772,MAX($AA$4:AA1775)+1,""))</f>
        <v/>
      </c>
    </row>
    <row r="1777" spans="1:27">
      <c r="A1777" s="9"/>
      <c r="Z1777">
        <f>TRIM(A1777&amp;"")</f>
        <v/>
      </c>
      <c r="AA1777">
        <f>IF(Z1777="","",IF(MATCH(SUBSTITUTE(SUBSTITUTE(SUBSTITUTE(Z1777,"~","~~"),"*","~*"),"?","~?"),$Z$5:$Z$5004,0)=1773,MAX($AA$4:AA1776)+1,""))</f>
        <v/>
      </c>
    </row>
    <row r="1778" spans="1:27">
      <c r="A1778" s="9"/>
      <c r="Z1778">
        <f>TRIM(A1778&amp;"")</f>
        <v/>
      </c>
      <c r="AA1778">
        <f>IF(Z1778="","",IF(MATCH(SUBSTITUTE(SUBSTITUTE(SUBSTITUTE(Z1778,"~","~~"),"*","~*"),"?","~?"),$Z$5:$Z$5004,0)=1774,MAX($AA$4:AA1777)+1,""))</f>
        <v/>
      </c>
    </row>
    <row r="1779" spans="1:27">
      <c r="A1779" s="9"/>
      <c r="Z1779">
        <f>TRIM(A1779&amp;"")</f>
        <v/>
      </c>
      <c r="AA1779">
        <f>IF(Z1779="","",IF(MATCH(SUBSTITUTE(SUBSTITUTE(SUBSTITUTE(Z1779,"~","~~"),"*","~*"),"?","~?"),$Z$5:$Z$5004,0)=1775,MAX($AA$4:AA1778)+1,""))</f>
        <v/>
      </c>
    </row>
    <row r="1780" spans="1:27">
      <c r="A1780" s="9"/>
      <c r="Z1780">
        <f>TRIM(A1780&amp;"")</f>
        <v/>
      </c>
      <c r="AA1780">
        <f>IF(Z1780="","",IF(MATCH(SUBSTITUTE(SUBSTITUTE(SUBSTITUTE(Z1780,"~","~~"),"*","~*"),"?","~?"),$Z$5:$Z$5004,0)=1776,MAX($AA$4:AA1779)+1,""))</f>
        <v/>
      </c>
    </row>
    <row r="1781" spans="1:27">
      <c r="A1781" s="9"/>
      <c r="Z1781">
        <f>TRIM(A1781&amp;"")</f>
        <v/>
      </c>
      <c r="AA1781">
        <f>IF(Z1781="","",IF(MATCH(SUBSTITUTE(SUBSTITUTE(SUBSTITUTE(Z1781,"~","~~"),"*","~*"),"?","~?"),$Z$5:$Z$5004,0)=1777,MAX($AA$4:AA1780)+1,""))</f>
        <v/>
      </c>
    </row>
    <row r="1782" spans="1:27">
      <c r="A1782" s="9"/>
      <c r="Z1782">
        <f>TRIM(A1782&amp;"")</f>
        <v/>
      </c>
      <c r="AA1782">
        <f>IF(Z1782="","",IF(MATCH(SUBSTITUTE(SUBSTITUTE(SUBSTITUTE(Z1782,"~","~~"),"*","~*"),"?","~?"),$Z$5:$Z$5004,0)=1778,MAX($AA$4:AA1781)+1,""))</f>
        <v/>
      </c>
    </row>
    <row r="1783" spans="1:27">
      <c r="A1783" s="9"/>
      <c r="Z1783">
        <f>TRIM(A1783&amp;"")</f>
        <v/>
      </c>
      <c r="AA1783">
        <f>IF(Z1783="","",IF(MATCH(SUBSTITUTE(SUBSTITUTE(SUBSTITUTE(Z1783,"~","~~"),"*","~*"),"?","~?"),$Z$5:$Z$5004,0)=1779,MAX($AA$4:AA1782)+1,""))</f>
        <v/>
      </c>
    </row>
    <row r="1784" spans="1:27">
      <c r="A1784" s="9"/>
      <c r="Z1784">
        <f>TRIM(A1784&amp;"")</f>
        <v/>
      </c>
      <c r="AA1784">
        <f>IF(Z1784="","",IF(MATCH(SUBSTITUTE(SUBSTITUTE(SUBSTITUTE(Z1784,"~","~~"),"*","~*"),"?","~?"),$Z$5:$Z$5004,0)=1780,MAX($AA$4:AA1783)+1,""))</f>
        <v/>
      </c>
    </row>
    <row r="1785" spans="1:27">
      <c r="A1785" s="9"/>
      <c r="Z1785">
        <f>TRIM(A1785&amp;"")</f>
        <v/>
      </c>
      <c r="AA1785">
        <f>IF(Z1785="","",IF(MATCH(SUBSTITUTE(SUBSTITUTE(SUBSTITUTE(Z1785,"~","~~"),"*","~*"),"?","~?"),$Z$5:$Z$5004,0)=1781,MAX($AA$4:AA1784)+1,""))</f>
        <v/>
      </c>
    </row>
    <row r="1786" spans="1:27">
      <c r="A1786" s="9"/>
      <c r="Z1786">
        <f>TRIM(A1786&amp;"")</f>
        <v/>
      </c>
      <c r="AA1786">
        <f>IF(Z1786="","",IF(MATCH(SUBSTITUTE(SUBSTITUTE(SUBSTITUTE(Z1786,"~","~~"),"*","~*"),"?","~?"),$Z$5:$Z$5004,0)=1782,MAX($AA$4:AA1785)+1,""))</f>
        <v/>
      </c>
    </row>
    <row r="1787" spans="1:27">
      <c r="A1787" s="9"/>
      <c r="Z1787">
        <f>TRIM(A1787&amp;"")</f>
        <v/>
      </c>
      <c r="AA1787">
        <f>IF(Z1787="","",IF(MATCH(SUBSTITUTE(SUBSTITUTE(SUBSTITUTE(Z1787,"~","~~"),"*","~*"),"?","~?"),$Z$5:$Z$5004,0)=1783,MAX($AA$4:AA1786)+1,""))</f>
        <v/>
      </c>
    </row>
    <row r="1788" spans="1:27">
      <c r="A1788" s="9"/>
      <c r="Z1788">
        <f>TRIM(A1788&amp;"")</f>
        <v/>
      </c>
      <c r="AA1788">
        <f>IF(Z1788="","",IF(MATCH(SUBSTITUTE(SUBSTITUTE(SUBSTITUTE(Z1788,"~","~~"),"*","~*"),"?","~?"),$Z$5:$Z$5004,0)=1784,MAX($AA$4:AA1787)+1,""))</f>
        <v/>
      </c>
    </row>
    <row r="1789" spans="1:27">
      <c r="A1789" s="9"/>
      <c r="Z1789">
        <f>TRIM(A1789&amp;"")</f>
        <v/>
      </c>
      <c r="AA1789">
        <f>IF(Z1789="","",IF(MATCH(SUBSTITUTE(SUBSTITUTE(SUBSTITUTE(Z1789,"~","~~"),"*","~*"),"?","~?"),$Z$5:$Z$5004,0)=1785,MAX($AA$4:AA1788)+1,""))</f>
        <v/>
      </c>
    </row>
    <row r="1790" spans="1:27">
      <c r="A1790" s="9"/>
      <c r="Z1790">
        <f>TRIM(A1790&amp;"")</f>
        <v/>
      </c>
      <c r="AA1790">
        <f>IF(Z1790="","",IF(MATCH(SUBSTITUTE(SUBSTITUTE(SUBSTITUTE(Z1790,"~","~~"),"*","~*"),"?","~?"),$Z$5:$Z$5004,0)=1786,MAX($AA$4:AA1789)+1,""))</f>
        <v/>
      </c>
    </row>
    <row r="1791" spans="1:27">
      <c r="A1791" s="9"/>
      <c r="Z1791">
        <f>TRIM(A1791&amp;"")</f>
        <v/>
      </c>
      <c r="AA1791">
        <f>IF(Z1791="","",IF(MATCH(SUBSTITUTE(SUBSTITUTE(SUBSTITUTE(Z1791,"~","~~"),"*","~*"),"?","~?"),$Z$5:$Z$5004,0)=1787,MAX($AA$4:AA1790)+1,""))</f>
        <v/>
      </c>
    </row>
    <row r="1792" spans="1:27">
      <c r="A1792" s="9"/>
      <c r="Z1792">
        <f>TRIM(A1792&amp;"")</f>
        <v/>
      </c>
      <c r="AA1792">
        <f>IF(Z1792="","",IF(MATCH(SUBSTITUTE(SUBSTITUTE(SUBSTITUTE(Z1792,"~","~~"),"*","~*"),"?","~?"),$Z$5:$Z$5004,0)=1788,MAX($AA$4:AA1791)+1,""))</f>
        <v/>
      </c>
    </row>
    <row r="1793" spans="1:27">
      <c r="A1793" s="9"/>
      <c r="Z1793">
        <f>TRIM(A1793&amp;"")</f>
        <v/>
      </c>
      <c r="AA1793">
        <f>IF(Z1793="","",IF(MATCH(SUBSTITUTE(SUBSTITUTE(SUBSTITUTE(Z1793,"~","~~"),"*","~*"),"?","~?"),$Z$5:$Z$5004,0)=1789,MAX($AA$4:AA1792)+1,""))</f>
        <v/>
      </c>
    </row>
    <row r="1794" spans="1:27">
      <c r="A1794" s="9"/>
      <c r="Z1794">
        <f>TRIM(A1794&amp;"")</f>
        <v/>
      </c>
      <c r="AA1794">
        <f>IF(Z1794="","",IF(MATCH(SUBSTITUTE(SUBSTITUTE(SUBSTITUTE(Z1794,"~","~~"),"*","~*"),"?","~?"),$Z$5:$Z$5004,0)=1790,MAX($AA$4:AA1793)+1,""))</f>
        <v/>
      </c>
    </row>
    <row r="1795" spans="1:27">
      <c r="A1795" s="9"/>
      <c r="Z1795">
        <f>TRIM(A1795&amp;"")</f>
        <v/>
      </c>
      <c r="AA1795">
        <f>IF(Z1795="","",IF(MATCH(SUBSTITUTE(SUBSTITUTE(SUBSTITUTE(Z1795,"~","~~"),"*","~*"),"?","~?"),$Z$5:$Z$5004,0)=1791,MAX($AA$4:AA1794)+1,""))</f>
        <v/>
      </c>
    </row>
    <row r="1796" spans="1:27">
      <c r="A1796" s="9"/>
      <c r="Z1796">
        <f>TRIM(A1796&amp;"")</f>
        <v/>
      </c>
      <c r="AA1796">
        <f>IF(Z1796="","",IF(MATCH(SUBSTITUTE(SUBSTITUTE(SUBSTITUTE(Z1796,"~","~~"),"*","~*"),"?","~?"),$Z$5:$Z$5004,0)=1792,MAX($AA$4:AA1795)+1,""))</f>
        <v/>
      </c>
    </row>
    <row r="1797" spans="1:27">
      <c r="A1797" s="9"/>
      <c r="Z1797">
        <f>TRIM(A1797&amp;"")</f>
        <v/>
      </c>
      <c r="AA1797">
        <f>IF(Z1797="","",IF(MATCH(SUBSTITUTE(SUBSTITUTE(SUBSTITUTE(Z1797,"~","~~"),"*","~*"),"?","~?"),$Z$5:$Z$5004,0)=1793,MAX($AA$4:AA1796)+1,""))</f>
        <v/>
      </c>
    </row>
    <row r="1798" spans="1:27">
      <c r="A1798" s="9"/>
      <c r="Z1798">
        <f>TRIM(A1798&amp;"")</f>
        <v/>
      </c>
      <c r="AA1798">
        <f>IF(Z1798="","",IF(MATCH(SUBSTITUTE(SUBSTITUTE(SUBSTITUTE(Z1798,"~","~~"),"*","~*"),"?","~?"),$Z$5:$Z$5004,0)=1794,MAX($AA$4:AA1797)+1,""))</f>
        <v/>
      </c>
    </row>
    <row r="1799" spans="1:27">
      <c r="A1799" s="9"/>
      <c r="Z1799">
        <f>TRIM(A1799&amp;"")</f>
        <v/>
      </c>
      <c r="AA1799">
        <f>IF(Z1799="","",IF(MATCH(SUBSTITUTE(SUBSTITUTE(SUBSTITUTE(Z1799,"~","~~"),"*","~*"),"?","~?"),$Z$5:$Z$5004,0)=1795,MAX($AA$4:AA1798)+1,""))</f>
        <v/>
      </c>
    </row>
    <row r="1800" spans="1:27">
      <c r="A1800" s="9"/>
      <c r="Z1800">
        <f>TRIM(A1800&amp;"")</f>
        <v/>
      </c>
      <c r="AA1800">
        <f>IF(Z1800="","",IF(MATCH(SUBSTITUTE(SUBSTITUTE(SUBSTITUTE(Z1800,"~","~~"),"*","~*"),"?","~?"),$Z$5:$Z$5004,0)=1796,MAX($AA$4:AA1799)+1,""))</f>
        <v/>
      </c>
    </row>
    <row r="1801" spans="1:27">
      <c r="A1801" s="9"/>
      <c r="Z1801">
        <f>TRIM(A1801&amp;"")</f>
        <v/>
      </c>
      <c r="AA1801">
        <f>IF(Z1801="","",IF(MATCH(SUBSTITUTE(SUBSTITUTE(SUBSTITUTE(Z1801,"~","~~"),"*","~*"),"?","~?"),$Z$5:$Z$5004,0)=1797,MAX($AA$4:AA1800)+1,""))</f>
        <v/>
      </c>
    </row>
    <row r="1802" spans="1:27">
      <c r="A1802" s="9"/>
      <c r="Z1802">
        <f>TRIM(A1802&amp;"")</f>
        <v/>
      </c>
      <c r="AA1802">
        <f>IF(Z1802="","",IF(MATCH(SUBSTITUTE(SUBSTITUTE(SUBSTITUTE(Z1802,"~","~~"),"*","~*"),"?","~?"),$Z$5:$Z$5004,0)=1798,MAX($AA$4:AA1801)+1,""))</f>
        <v/>
      </c>
    </row>
    <row r="1803" spans="1:27">
      <c r="A1803" s="9"/>
      <c r="Z1803">
        <f>TRIM(A1803&amp;"")</f>
        <v/>
      </c>
      <c r="AA1803">
        <f>IF(Z1803="","",IF(MATCH(SUBSTITUTE(SUBSTITUTE(SUBSTITUTE(Z1803,"~","~~"),"*","~*"),"?","~?"),$Z$5:$Z$5004,0)=1799,MAX($AA$4:AA1802)+1,""))</f>
        <v/>
      </c>
    </row>
    <row r="1804" spans="1:27">
      <c r="A1804" s="9"/>
      <c r="Z1804">
        <f>TRIM(A1804&amp;"")</f>
        <v/>
      </c>
      <c r="AA1804">
        <f>IF(Z1804="","",IF(MATCH(SUBSTITUTE(SUBSTITUTE(SUBSTITUTE(Z1804,"~","~~"),"*","~*"),"?","~?"),$Z$5:$Z$5004,0)=1800,MAX($AA$4:AA1803)+1,""))</f>
        <v/>
      </c>
    </row>
    <row r="1805" spans="1:27">
      <c r="A1805" s="9"/>
      <c r="Z1805">
        <f>TRIM(A1805&amp;"")</f>
        <v/>
      </c>
      <c r="AA1805">
        <f>IF(Z1805="","",IF(MATCH(SUBSTITUTE(SUBSTITUTE(SUBSTITUTE(Z1805,"~","~~"),"*","~*"),"?","~?"),$Z$5:$Z$5004,0)=1801,MAX($AA$4:AA1804)+1,""))</f>
        <v/>
      </c>
    </row>
    <row r="1806" spans="1:27">
      <c r="A1806" s="9"/>
      <c r="Z1806">
        <f>TRIM(A1806&amp;"")</f>
        <v/>
      </c>
      <c r="AA1806">
        <f>IF(Z1806="","",IF(MATCH(SUBSTITUTE(SUBSTITUTE(SUBSTITUTE(Z1806,"~","~~"),"*","~*"),"?","~?"),$Z$5:$Z$5004,0)=1802,MAX($AA$4:AA1805)+1,""))</f>
        <v/>
      </c>
    </row>
    <row r="1807" spans="1:27">
      <c r="A1807" s="9"/>
      <c r="Z1807">
        <f>TRIM(A1807&amp;"")</f>
        <v/>
      </c>
      <c r="AA1807">
        <f>IF(Z1807="","",IF(MATCH(SUBSTITUTE(SUBSTITUTE(SUBSTITUTE(Z1807,"~","~~"),"*","~*"),"?","~?"),$Z$5:$Z$5004,0)=1803,MAX($AA$4:AA1806)+1,""))</f>
        <v/>
      </c>
    </row>
    <row r="1808" spans="1:27">
      <c r="A1808" s="9"/>
      <c r="Z1808">
        <f>TRIM(A1808&amp;"")</f>
        <v/>
      </c>
      <c r="AA1808">
        <f>IF(Z1808="","",IF(MATCH(SUBSTITUTE(SUBSTITUTE(SUBSTITUTE(Z1808,"~","~~"),"*","~*"),"?","~?"),$Z$5:$Z$5004,0)=1804,MAX($AA$4:AA1807)+1,""))</f>
        <v/>
      </c>
    </row>
    <row r="1809" spans="1:27">
      <c r="A1809" s="9"/>
      <c r="Z1809">
        <f>TRIM(A1809&amp;"")</f>
        <v/>
      </c>
      <c r="AA1809">
        <f>IF(Z1809="","",IF(MATCH(SUBSTITUTE(SUBSTITUTE(SUBSTITUTE(Z1809,"~","~~"),"*","~*"),"?","~?"),$Z$5:$Z$5004,0)=1805,MAX($AA$4:AA1808)+1,""))</f>
        <v/>
      </c>
    </row>
    <row r="1810" spans="1:27">
      <c r="A1810" s="9"/>
      <c r="Z1810">
        <f>TRIM(A1810&amp;"")</f>
        <v/>
      </c>
      <c r="AA1810">
        <f>IF(Z1810="","",IF(MATCH(SUBSTITUTE(SUBSTITUTE(SUBSTITUTE(Z1810,"~","~~"),"*","~*"),"?","~?"),$Z$5:$Z$5004,0)=1806,MAX($AA$4:AA1809)+1,""))</f>
        <v/>
      </c>
    </row>
    <row r="1811" spans="1:27">
      <c r="A1811" s="9"/>
      <c r="Z1811">
        <f>TRIM(A1811&amp;"")</f>
        <v/>
      </c>
      <c r="AA1811">
        <f>IF(Z1811="","",IF(MATCH(SUBSTITUTE(SUBSTITUTE(SUBSTITUTE(Z1811,"~","~~"),"*","~*"),"?","~?"),$Z$5:$Z$5004,0)=1807,MAX($AA$4:AA1810)+1,""))</f>
        <v/>
      </c>
    </row>
    <row r="1812" spans="1:27">
      <c r="A1812" s="9"/>
      <c r="Z1812">
        <f>TRIM(A1812&amp;"")</f>
        <v/>
      </c>
      <c r="AA1812">
        <f>IF(Z1812="","",IF(MATCH(SUBSTITUTE(SUBSTITUTE(SUBSTITUTE(Z1812,"~","~~"),"*","~*"),"?","~?"),$Z$5:$Z$5004,0)=1808,MAX($AA$4:AA1811)+1,""))</f>
        <v/>
      </c>
    </row>
    <row r="1813" spans="1:27">
      <c r="A1813" s="9"/>
      <c r="Z1813">
        <f>TRIM(A1813&amp;"")</f>
        <v/>
      </c>
      <c r="AA1813">
        <f>IF(Z1813="","",IF(MATCH(SUBSTITUTE(SUBSTITUTE(SUBSTITUTE(Z1813,"~","~~"),"*","~*"),"?","~?"),$Z$5:$Z$5004,0)=1809,MAX($AA$4:AA1812)+1,""))</f>
        <v/>
      </c>
    </row>
    <row r="1814" spans="1:27">
      <c r="A1814" s="9"/>
      <c r="Z1814">
        <f>TRIM(A1814&amp;"")</f>
        <v/>
      </c>
      <c r="AA1814">
        <f>IF(Z1814="","",IF(MATCH(SUBSTITUTE(SUBSTITUTE(SUBSTITUTE(Z1814,"~","~~"),"*","~*"),"?","~?"),$Z$5:$Z$5004,0)=1810,MAX($AA$4:AA1813)+1,""))</f>
        <v/>
      </c>
    </row>
    <row r="1815" spans="1:27">
      <c r="A1815" s="9"/>
      <c r="Z1815">
        <f>TRIM(A1815&amp;"")</f>
        <v/>
      </c>
      <c r="AA1815">
        <f>IF(Z1815="","",IF(MATCH(SUBSTITUTE(SUBSTITUTE(SUBSTITUTE(Z1815,"~","~~"),"*","~*"),"?","~?"),$Z$5:$Z$5004,0)=1811,MAX($AA$4:AA1814)+1,""))</f>
        <v/>
      </c>
    </row>
    <row r="1816" spans="1:27">
      <c r="A1816" s="9"/>
      <c r="Z1816">
        <f>TRIM(A1816&amp;"")</f>
        <v/>
      </c>
      <c r="AA1816">
        <f>IF(Z1816="","",IF(MATCH(SUBSTITUTE(SUBSTITUTE(SUBSTITUTE(Z1816,"~","~~"),"*","~*"),"?","~?"),$Z$5:$Z$5004,0)=1812,MAX($AA$4:AA1815)+1,""))</f>
        <v/>
      </c>
    </row>
    <row r="1817" spans="1:27">
      <c r="A1817" s="9"/>
      <c r="Z1817">
        <f>TRIM(A1817&amp;"")</f>
        <v/>
      </c>
      <c r="AA1817">
        <f>IF(Z1817="","",IF(MATCH(SUBSTITUTE(SUBSTITUTE(SUBSTITUTE(Z1817,"~","~~"),"*","~*"),"?","~?"),$Z$5:$Z$5004,0)=1813,MAX($AA$4:AA1816)+1,""))</f>
        <v/>
      </c>
    </row>
    <row r="1818" spans="1:27">
      <c r="A1818" s="9"/>
      <c r="Z1818">
        <f>TRIM(A1818&amp;"")</f>
        <v/>
      </c>
      <c r="AA1818">
        <f>IF(Z1818="","",IF(MATCH(SUBSTITUTE(SUBSTITUTE(SUBSTITUTE(Z1818,"~","~~"),"*","~*"),"?","~?"),$Z$5:$Z$5004,0)=1814,MAX($AA$4:AA1817)+1,""))</f>
        <v/>
      </c>
    </row>
    <row r="1819" spans="1:27">
      <c r="A1819" s="9"/>
      <c r="Z1819">
        <f>TRIM(A1819&amp;"")</f>
        <v/>
      </c>
      <c r="AA1819">
        <f>IF(Z1819="","",IF(MATCH(SUBSTITUTE(SUBSTITUTE(SUBSTITUTE(Z1819,"~","~~"),"*","~*"),"?","~?"),$Z$5:$Z$5004,0)=1815,MAX($AA$4:AA1818)+1,""))</f>
        <v/>
      </c>
    </row>
    <row r="1820" spans="1:27">
      <c r="A1820" s="9"/>
      <c r="Z1820">
        <f>TRIM(A1820&amp;"")</f>
        <v/>
      </c>
      <c r="AA1820">
        <f>IF(Z1820="","",IF(MATCH(SUBSTITUTE(SUBSTITUTE(SUBSTITUTE(Z1820,"~","~~"),"*","~*"),"?","~?"),$Z$5:$Z$5004,0)=1816,MAX($AA$4:AA1819)+1,""))</f>
        <v/>
      </c>
    </row>
    <row r="1821" spans="1:27">
      <c r="A1821" s="9"/>
      <c r="Z1821">
        <f>TRIM(A1821&amp;"")</f>
        <v/>
      </c>
      <c r="AA1821">
        <f>IF(Z1821="","",IF(MATCH(SUBSTITUTE(SUBSTITUTE(SUBSTITUTE(Z1821,"~","~~"),"*","~*"),"?","~?"),$Z$5:$Z$5004,0)=1817,MAX($AA$4:AA1820)+1,""))</f>
        <v/>
      </c>
    </row>
    <row r="1822" spans="1:27">
      <c r="A1822" s="9"/>
      <c r="Z1822">
        <f>TRIM(A1822&amp;"")</f>
        <v/>
      </c>
      <c r="AA1822">
        <f>IF(Z1822="","",IF(MATCH(SUBSTITUTE(SUBSTITUTE(SUBSTITUTE(Z1822,"~","~~"),"*","~*"),"?","~?"),$Z$5:$Z$5004,0)=1818,MAX($AA$4:AA1821)+1,""))</f>
        <v/>
      </c>
    </row>
    <row r="1823" spans="1:27">
      <c r="A1823" s="9"/>
      <c r="Z1823">
        <f>TRIM(A1823&amp;"")</f>
        <v/>
      </c>
      <c r="AA1823">
        <f>IF(Z1823="","",IF(MATCH(SUBSTITUTE(SUBSTITUTE(SUBSTITUTE(Z1823,"~","~~"),"*","~*"),"?","~?"),$Z$5:$Z$5004,0)=1819,MAX($AA$4:AA1822)+1,""))</f>
        <v/>
      </c>
    </row>
    <row r="1824" spans="1:27">
      <c r="A1824" s="9"/>
      <c r="Z1824">
        <f>TRIM(A1824&amp;"")</f>
        <v/>
      </c>
      <c r="AA1824">
        <f>IF(Z1824="","",IF(MATCH(SUBSTITUTE(SUBSTITUTE(SUBSTITUTE(Z1824,"~","~~"),"*","~*"),"?","~?"),$Z$5:$Z$5004,0)=1820,MAX($AA$4:AA1823)+1,""))</f>
        <v/>
      </c>
    </row>
    <row r="1825" spans="1:27">
      <c r="A1825" s="9"/>
      <c r="Z1825">
        <f>TRIM(A1825&amp;"")</f>
        <v/>
      </c>
      <c r="AA1825">
        <f>IF(Z1825="","",IF(MATCH(SUBSTITUTE(SUBSTITUTE(SUBSTITUTE(Z1825,"~","~~"),"*","~*"),"?","~?"),$Z$5:$Z$5004,0)=1821,MAX($AA$4:AA1824)+1,""))</f>
        <v/>
      </c>
    </row>
    <row r="1826" spans="1:27">
      <c r="A1826" s="9"/>
      <c r="Z1826">
        <f>TRIM(A1826&amp;"")</f>
        <v/>
      </c>
      <c r="AA1826">
        <f>IF(Z1826="","",IF(MATCH(SUBSTITUTE(SUBSTITUTE(SUBSTITUTE(Z1826,"~","~~"),"*","~*"),"?","~?"),$Z$5:$Z$5004,0)=1822,MAX($AA$4:AA1825)+1,""))</f>
        <v/>
      </c>
    </row>
    <row r="1827" spans="1:27">
      <c r="A1827" s="9"/>
      <c r="Z1827">
        <f>TRIM(A1827&amp;"")</f>
        <v/>
      </c>
      <c r="AA1827">
        <f>IF(Z1827="","",IF(MATCH(SUBSTITUTE(SUBSTITUTE(SUBSTITUTE(Z1827,"~","~~"),"*","~*"),"?","~?"),$Z$5:$Z$5004,0)=1823,MAX($AA$4:AA1826)+1,""))</f>
        <v/>
      </c>
    </row>
    <row r="1828" spans="1:27">
      <c r="A1828" s="9"/>
      <c r="Z1828">
        <f>TRIM(A1828&amp;"")</f>
        <v/>
      </c>
      <c r="AA1828">
        <f>IF(Z1828="","",IF(MATCH(SUBSTITUTE(SUBSTITUTE(SUBSTITUTE(Z1828,"~","~~"),"*","~*"),"?","~?"),$Z$5:$Z$5004,0)=1824,MAX($AA$4:AA1827)+1,""))</f>
        <v/>
      </c>
    </row>
    <row r="1829" spans="1:27">
      <c r="A1829" s="9"/>
      <c r="Z1829">
        <f>TRIM(A1829&amp;"")</f>
        <v/>
      </c>
      <c r="AA1829">
        <f>IF(Z1829="","",IF(MATCH(SUBSTITUTE(SUBSTITUTE(SUBSTITUTE(Z1829,"~","~~"),"*","~*"),"?","~?"),$Z$5:$Z$5004,0)=1825,MAX($AA$4:AA1828)+1,""))</f>
        <v/>
      </c>
    </row>
    <row r="1830" spans="1:27">
      <c r="A1830" s="9"/>
      <c r="Z1830">
        <f>TRIM(A1830&amp;"")</f>
        <v/>
      </c>
      <c r="AA1830">
        <f>IF(Z1830="","",IF(MATCH(SUBSTITUTE(SUBSTITUTE(SUBSTITUTE(Z1830,"~","~~"),"*","~*"),"?","~?"),$Z$5:$Z$5004,0)=1826,MAX($AA$4:AA1829)+1,""))</f>
        <v/>
      </c>
    </row>
    <row r="1831" spans="1:27">
      <c r="A1831" s="9"/>
      <c r="Z1831">
        <f>TRIM(A1831&amp;"")</f>
        <v/>
      </c>
      <c r="AA1831">
        <f>IF(Z1831="","",IF(MATCH(SUBSTITUTE(SUBSTITUTE(SUBSTITUTE(Z1831,"~","~~"),"*","~*"),"?","~?"),$Z$5:$Z$5004,0)=1827,MAX($AA$4:AA1830)+1,""))</f>
        <v/>
      </c>
    </row>
    <row r="1832" spans="1:27">
      <c r="A1832" s="9"/>
      <c r="Z1832">
        <f>TRIM(A1832&amp;"")</f>
        <v/>
      </c>
      <c r="AA1832">
        <f>IF(Z1832="","",IF(MATCH(SUBSTITUTE(SUBSTITUTE(SUBSTITUTE(Z1832,"~","~~"),"*","~*"),"?","~?"),$Z$5:$Z$5004,0)=1828,MAX($AA$4:AA1831)+1,""))</f>
        <v/>
      </c>
    </row>
    <row r="1833" spans="1:27">
      <c r="A1833" s="9"/>
      <c r="Z1833">
        <f>TRIM(A1833&amp;"")</f>
        <v/>
      </c>
      <c r="AA1833">
        <f>IF(Z1833="","",IF(MATCH(SUBSTITUTE(SUBSTITUTE(SUBSTITUTE(Z1833,"~","~~"),"*","~*"),"?","~?"),$Z$5:$Z$5004,0)=1829,MAX($AA$4:AA1832)+1,""))</f>
        <v/>
      </c>
    </row>
    <row r="1834" spans="1:27">
      <c r="A1834" s="9"/>
      <c r="Z1834">
        <f>TRIM(A1834&amp;"")</f>
        <v/>
      </c>
      <c r="AA1834">
        <f>IF(Z1834="","",IF(MATCH(SUBSTITUTE(SUBSTITUTE(SUBSTITUTE(Z1834,"~","~~"),"*","~*"),"?","~?"),$Z$5:$Z$5004,0)=1830,MAX($AA$4:AA1833)+1,""))</f>
        <v/>
      </c>
    </row>
    <row r="1835" spans="1:27">
      <c r="A1835" s="9"/>
      <c r="Z1835">
        <f>TRIM(A1835&amp;"")</f>
        <v/>
      </c>
      <c r="AA1835">
        <f>IF(Z1835="","",IF(MATCH(SUBSTITUTE(SUBSTITUTE(SUBSTITUTE(Z1835,"~","~~"),"*","~*"),"?","~?"),$Z$5:$Z$5004,0)=1831,MAX($AA$4:AA1834)+1,""))</f>
        <v/>
      </c>
    </row>
    <row r="1836" spans="1:27">
      <c r="A1836" s="9"/>
      <c r="Z1836">
        <f>TRIM(A1836&amp;"")</f>
        <v/>
      </c>
      <c r="AA1836">
        <f>IF(Z1836="","",IF(MATCH(SUBSTITUTE(SUBSTITUTE(SUBSTITUTE(Z1836,"~","~~"),"*","~*"),"?","~?"),$Z$5:$Z$5004,0)=1832,MAX($AA$4:AA1835)+1,""))</f>
        <v/>
      </c>
    </row>
    <row r="1837" spans="1:27">
      <c r="A1837" s="9"/>
      <c r="Z1837">
        <f>TRIM(A1837&amp;"")</f>
        <v/>
      </c>
      <c r="AA1837">
        <f>IF(Z1837="","",IF(MATCH(SUBSTITUTE(SUBSTITUTE(SUBSTITUTE(Z1837,"~","~~"),"*","~*"),"?","~?"),$Z$5:$Z$5004,0)=1833,MAX($AA$4:AA1836)+1,""))</f>
        <v/>
      </c>
    </row>
    <row r="1838" spans="1:27">
      <c r="A1838" s="9"/>
      <c r="Z1838">
        <f>TRIM(A1838&amp;"")</f>
        <v/>
      </c>
      <c r="AA1838">
        <f>IF(Z1838="","",IF(MATCH(SUBSTITUTE(SUBSTITUTE(SUBSTITUTE(Z1838,"~","~~"),"*","~*"),"?","~?"),$Z$5:$Z$5004,0)=1834,MAX($AA$4:AA1837)+1,""))</f>
        <v/>
      </c>
    </row>
    <row r="1839" spans="1:27">
      <c r="A1839" s="9"/>
      <c r="Z1839">
        <f>TRIM(A1839&amp;"")</f>
        <v/>
      </c>
      <c r="AA1839">
        <f>IF(Z1839="","",IF(MATCH(SUBSTITUTE(SUBSTITUTE(SUBSTITUTE(Z1839,"~","~~"),"*","~*"),"?","~?"),$Z$5:$Z$5004,0)=1835,MAX($AA$4:AA1838)+1,""))</f>
        <v/>
      </c>
    </row>
    <row r="1840" spans="1:27">
      <c r="A1840" s="9"/>
      <c r="Z1840">
        <f>TRIM(A1840&amp;"")</f>
        <v/>
      </c>
      <c r="AA1840">
        <f>IF(Z1840="","",IF(MATCH(SUBSTITUTE(SUBSTITUTE(SUBSTITUTE(Z1840,"~","~~"),"*","~*"),"?","~?"),$Z$5:$Z$5004,0)=1836,MAX($AA$4:AA1839)+1,""))</f>
        <v/>
      </c>
    </row>
    <row r="1841" spans="1:27">
      <c r="A1841" s="9"/>
      <c r="Z1841">
        <f>TRIM(A1841&amp;"")</f>
        <v/>
      </c>
      <c r="AA1841">
        <f>IF(Z1841="","",IF(MATCH(SUBSTITUTE(SUBSTITUTE(SUBSTITUTE(Z1841,"~","~~"),"*","~*"),"?","~?"),$Z$5:$Z$5004,0)=1837,MAX($AA$4:AA1840)+1,""))</f>
        <v/>
      </c>
    </row>
    <row r="1842" spans="1:27">
      <c r="A1842" s="9"/>
      <c r="Z1842">
        <f>TRIM(A1842&amp;"")</f>
        <v/>
      </c>
      <c r="AA1842">
        <f>IF(Z1842="","",IF(MATCH(SUBSTITUTE(SUBSTITUTE(SUBSTITUTE(Z1842,"~","~~"),"*","~*"),"?","~?"),$Z$5:$Z$5004,0)=1838,MAX($AA$4:AA1841)+1,""))</f>
        <v/>
      </c>
    </row>
    <row r="1843" spans="1:27">
      <c r="A1843" s="9"/>
      <c r="Z1843">
        <f>TRIM(A1843&amp;"")</f>
        <v/>
      </c>
      <c r="AA1843">
        <f>IF(Z1843="","",IF(MATCH(SUBSTITUTE(SUBSTITUTE(SUBSTITUTE(Z1843,"~","~~"),"*","~*"),"?","~?"),$Z$5:$Z$5004,0)=1839,MAX($AA$4:AA1842)+1,""))</f>
        <v/>
      </c>
    </row>
    <row r="1844" spans="1:27">
      <c r="A1844" s="9"/>
      <c r="Z1844">
        <f>TRIM(A1844&amp;"")</f>
        <v/>
      </c>
      <c r="AA1844">
        <f>IF(Z1844="","",IF(MATCH(SUBSTITUTE(SUBSTITUTE(SUBSTITUTE(Z1844,"~","~~"),"*","~*"),"?","~?"),$Z$5:$Z$5004,0)=1840,MAX($AA$4:AA1843)+1,""))</f>
        <v/>
      </c>
    </row>
    <row r="1845" spans="1:27">
      <c r="A1845" s="9"/>
      <c r="Z1845">
        <f>TRIM(A1845&amp;"")</f>
        <v/>
      </c>
      <c r="AA1845">
        <f>IF(Z1845="","",IF(MATCH(SUBSTITUTE(SUBSTITUTE(SUBSTITUTE(Z1845,"~","~~"),"*","~*"),"?","~?"),$Z$5:$Z$5004,0)=1841,MAX($AA$4:AA1844)+1,""))</f>
        <v/>
      </c>
    </row>
    <row r="1846" spans="1:27">
      <c r="A1846" s="9"/>
      <c r="Z1846">
        <f>TRIM(A1846&amp;"")</f>
        <v/>
      </c>
      <c r="AA1846">
        <f>IF(Z1846="","",IF(MATCH(SUBSTITUTE(SUBSTITUTE(SUBSTITUTE(Z1846,"~","~~"),"*","~*"),"?","~?"),$Z$5:$Z$5004,0)=1842,MAX($AA$4:AA1845)+1,""))</f>
        <v/>
      </c>
    </row>
    <row r="1847" spans="1:27">
      <c r="A1847" s="9"/>
      <c r="Z1847">
        <f>TRIM(A1847&amp;"")</f>
        <v/>
      </c>
      <c r="AA1847">
        <f>IF(Z1847="","",IF(MATCH(SUBSTITUTE(SUBSTITUTE(SUBSTITUTE(Z1847,"~","~~"),"*","~*"),"?","~?"),$Z$5:$Z$5004,0)=1843,MAX($AA$4:AA1846)+1,""))</f>
        <v/>
      </c>
    </row>
    <row r="1848" spans="1:27">
      <c r="A1848" s="9"/>
      <c r="Z1848">
        <f>TRIM(A1848&amp;"")</f>
        <v/>
      </c>
      <c r="AA1848">
        <f>IF(Z1848="","",IF(MATCH(SUBSTITUTE(SUBSTITUTE(SUBSTITUTE(Z1848,"~","~~"),"*","~*"),"?","~?"),$Z$5:$Z$5004,0)=1844,MAX($AA$4:AA1847)+1,""))</f>
        <v/>
      </c>
    </row>
    <row r="1849" spans="1:27">
      <c r="A1849" s="9"/>
      <c r="Z1849">
        <f>TRIM(A1849&amp;"")</f>
        <v/>
      </c>
      <c r="AA1849">
        <f>IF(Z1849="","",IF(MATCH(SUBSTITUTE(SUBSTITUTE(SUBSTITUTE(Z1849,"~","~~"),"*","~*"),"?","~?"),$Z$5:$Z$5004,0)=1845,MAX($AA$4:AA1848)+1,""))</f>
        <v/>
      </c>
    </row>
    <row r="1850" spans="1:27">
      <c r="A1850" s="9"/>
      <c r="Z1850">
        <f>TRIM(A1850&amp;"")</f>
        <v/>
      </c>
      <c r="AA1850">
        <f>IF(Z1850="","",IF(MATCH(SUBSTITUTE(SUBSTITUTE(SUBSTITUTE(Z1850,"~","~~"),"*","~*"),"?","~?"),$Z$5:$Z$5004,0)=1846,MAX($AA$4:AA1849)+1,""))</f>
        <v/>
      </c>
    </row>
    <row r="1851" spans="1:27">
      <c r="A1851" s="9"/>
      <c r="Z1851">
        <f>TRIM(A1851&amp;"")</f>
        <v/>
      </c>
      <c r="AA1851">
        <f>IF(Z1851="","",IF(MATCH(SUBSTITUTE(SUBSTITUTE(SUBSTITUTE(Z1851,"~","~~"),"*","~*"),"?","~?"),$Z$5:$Z$5004,0)=1847,MAX($AA$4:AA1850)+1,""))</f>
        <v/>
      </c>
    </row>
    <row r="1852" spans="1:27">
      <c r="A1852" s="9"/>
      <c r="Z1852">
        <f>TRIM(A1852&amp;"")</f>
        <v/>
      </c>
      <c r="AA1852">
        <f>IF(Z1852="","",IF(MATCH(SUBSTITUTE(SUBSTITUTE(SUBSTITUTE(Z1852,"~","~~"),"*","~*"),"?","~?"),$Z$5:$Z$5004,0)=1848,MAX($AA$4:AA1851)+1,""))</f>
        <v/>
      </c>
    </row>
    <row r="1853" spans="1:27">
      <c r="A1853" s="9"/>
      <c r="Z1853">
        <f>TRIM(A1853&amp;"")</f>
        <v/>
      </c>
      <c r="AA1853">
        <f>IF(Z1853="","",IF(MATCH(SUBSTITUTE(SUBSTITUTE(SUBSTITUTE(Z1853,"~","~~"),"*","~*"),"?","~?"),$Z$5:$Z$5004,0)=1849,MAX($AA$4:AA1852)+1,""))</f>
        <v/>
      </c>
    </row>
    <row r="1854" spans="1:27">
      <c r="A1854" s="9"/>
      <c r="Z1854">
        <f>TRIM(A1854&amp;"")</f>
        <v/>
      </c>
      <c r="AA1854">
        <f>IF(Z1854="","",IF(MATCH(SUBSTITUTE(SUBSTITUTE(SUBSTITUTE(Z1854,"~","~~"),"*","~*"),"?","~?"),$Z$5:$Z$5004,0)=1850,MAX($AA$4:AA1853)+1,""))</f>
        <v/>
      </c>
    </row>
    <row r="1855" spans="1:27">
      <c r="A1855" s="9"/>
      <c r="Z1855">
        <f>TRIM(A1855&amp;"")</f>
        <v/>
      </c>
      <c r="AA1855">
        <f>IF(Z1855="","",IF(MATCH(SUBSTITUTE(SUBSTITUTE(SUBSTITUTE(Z1855,"~","~~"),"*","~*"),"?","~?"),$Z$5:$Z$5004,0)=1851,MAX($AA$4:AA1854)+1,""))</f>
        <v/>
      </c>
    </row>
    <row r="1856" spans="1:27">
      <c r="A1856" s="9"/>
      <c r="Z1856">
        <f>TRIM(A1856&amp;"")</f>
        <v/>
      </c>
      <c r="AA1856">
        <f>IF(Z1856="","",IF(MATCH(SUBSTITUTE(SUBSTITUTE(SUBSTITUTE(Z1856,"~","~~"),"*","~*"),"?","~?"),$Z$5:$Z$5004,0)=1852,MAX($AA$4:AA1855)+1,""))</f>
        <v/>
      </c>
    </row>
    <row r="1857" spans="1:27">
      <c r="A1857" s="9"/>
      <c r="Z1857">
        <f>TRIM(A1857&amp;"")</f>
        <v/>
      </c>
      <c r="AA1857">
        <f>IF(Z1857="","",IF(MATCH(SUBSTITUTE(SUBSTITUTE(SUBSTITUTE(Z1857,"~","~~"),"*","~*"),"?","~?"),$Z$5:$Z$5004,0)=1853,MAX($AA$4:AA1856)+1,""))</f>
        <v/>
      </c>
    </row>
    <row r="1858" spans="1:27">
      <c r="A1858" s="9"/>
      <c r="Z1858">
        <f>TRIM(A1858&amp;"")</f>
        <v/>
      </c>
      <c r="AA1858">
        <f>IF(Z1858="","",IF(MATCH(SUBSTITUTE(SUBSTITUTE(SUBSTITUTE(Z1858,"~","~~"),"*","~*"),"?","~?"),$Z$5:$Z$5004,0)=1854,MAX($AA$4:AA1857)+1,""))</f>
        <v/>
      </c>
    </row>
    <row r="1859" spans="1:27">
      <c r="A1859" s="9"/>
      <c r="Z1859">
        <f>TRIM(A1859&amp;"")</f>
        <v/>
      </c>
      <c r="AA1859">
        <f>IF(Z1859="","",IF(MATCH(SUBSTITUTE(SUBSTITUTE(SUBSTITUTE(Z1859,"~","~~"),"*","~*"),"?","~?"),$Z$5:$Z$5004,0)=1855,MAX($AA$4:AA1858)+1,""))</f>
        <v/>
      </c>
    </row>
    <row r="1860" spans="1:27">
      <c r="A1860" s="9"/>
      <c r="Z1860">
        <f>TRIM(A1860&amp;"")</f>
        <v/>
      </c>
      <c r="AA1860">
        <f>IF(Z1860="","",IF(MATCH(SUBSTITUTE(SUBSTITUTE(SUBSTITUTE(Z1860,"~","~~"),"*","~*"),"?","~?"),$Z$5:$Z$5004,0)=1856,MAX($AA$4:AA1859)+1,""))</f>
        <v/>
      </c>
    </row>
    <row r="1861" spans="1:27">
      <c r="A1861" s="9"/>
      <c r="Z1861">
        <f>TRIM(A1861&amp;"")</f>
        <v/>
      </c>
      <c r="AA1861">
        <f>IF(Z1861="","",IF(MATCH(SUBSTITUTE(SUBSTITUTE(SUBSTITUTE(Z1861,"~","~~"),"*","~*"),"?","~?"),$Z$5:$Z$5004,0)=1857,MAX($AA$4:AA1860)+1,""))</f>
        <v/>
      </c>
    </row>
    <row r="1862" spans="1:27">
      <c r="A1862" s="9"/>
      <c r="Z1862">
        <f>TRIM(A1862&amp;"")</f>
        <v/>
      </c>
      <c r="AA1862">
        <f>IF(Z1862="","",IF(MATCH(SUBSTITUTE(SUBSTITUTE(SUBSTITUTE(Z1862,"~","~~"),"*","~*"),"?","~?"),$Z$5:$Z$5004,0)=1858,MAX($AA$4:AA1861)+1,""))</f>
        <v/>
      </c>
    </row>
    <row r="1863" spans="1:27">
      <c r="A1863" s="9"/>
      <c r="Z1863">
        <f>TRIM(A1863&amp;"")</f>
        <v/>
      </c>
      <c r="AA1863">
        <f>IF(Z1863="","",IF(MATCH(SUBSTITUTE(SUBSTITUTE(SUBSTITUTE(Z1863,"~","~~"),"*","~*"),"?","~?"),$Z$5:$Z$5004,0)=1859,MAX($AA$4:AA1862)+1,""))</f>
        <v/>
      </c>
    </row>
    <row r="1864" spans="1:27">
      <c r="A1864" s="9"/>
      <c r="Z1864">
        <f>TRIM(A1864&amp;"")</f>
        <v/>
      </c>
      <c r="AA1864">
        <f>IF(Z1864="","",IF(MATCH(SUBSTITUTE(SUBSTITUTE(SUBSTITUTE(Z1864,"~","~~"),"*","~*"),"?","~?"),$Z$5:$Z$5004,0)=1860,MAX($AA$4:AA1863)+1,""))</f>
        <v/>
      </c>
    </row>
    <row r="1865" spans="1:27">
      <c r="A1865" s="9"/>
      <c r="Z1865">
        <f>TRIM(A1865&amp;"")</f>
        <v/>
      </c>
      <c r="AA1865">
        <f>IF(Z1865="","",IF(MATCH(SUBSTITUTE(SUBSTITUTE(SUBSTITUTE(Z1865,"~","~~"),"*","~*"),"?","~?"),$Z$5:$Z$5004,0)=1861,MAX($AA$4:AA1864)+1,""))</f>
        <v/>
      </c>
    </row>
    <row r="1866" spans="1:27">
      <c r="A1866" s="9"/>
      <c r="Z1866">
        <f>TRIM(A1866&amp;"")</f>
        <v/>
      </c>
      <c r="AA1866">
        <f>IF(Z1866="","",IF(MATCH(SUBSTITUTE(SUBSTITUTE(SUBSTITUTE(Z1866,"~","~~"),"*","~*"),"?","~?"),$Z$5:$Z$5004,0)=1862,MAX($AA$4:AA1865)+1,""))</f>
        <v/>
      </c>
    </row>
    <row r="1867" spans="1:27">
      <c r="A1867" s="9"/>
      <c r="Z1867">
        <f>TRIM(A1867&amp;"")</f>
        <v/>
      </c>
      <c r="AA1867">
        <f>IF(Z1867="","",IF(MATCH(SUBSTITUTE(SUBSTITUTE(SUBSTITUTE(Z1867,"~","~~"),"*","~*"),"?","~?"),$Z$5:$Z$5004,0)=1863,MAX($AA$4:AA1866)+1,""))</f>
        <v/>
      </c>
    </row>
    <row r="1868" spans="1:27">
      <c r="A1868" s="9"/>
      <c r="Z1868">
        <f>TRIM(A1868&amp;"")</f>
        <v/>
      </c>
      <c r="AA1868">
        <f>IF(Z1868="","",IF(MATCH(SUBSTITUTE(SUBSTITUTE(SUBSTITUTE(Z1868,"~","~~"),"*","~*"),"?","~?"),$Z$5:$Z$5004,0)=1864,MAX($AA$4:AA1867)+1,""))</f>
        <v/>
      </c>
    </row>
    <row r="1869" spans="1:27">
      <c r="A1869" s="9"/>
      <c r="Z1869">
        <f>TRIM(A1869&amp;"")</f>
        <v/>
      </c>
      <c r="AA1869">
        <f>IF(Z1869="","",IF(MATCH(SUBSTITUTE(SUBSTITUTE(SUBSTITUTE(Z1869,"~","~~"),"*","~*"),"?","~?"),$Z$5:$Z$5004,0)=1865,MAX($AA$4:AA1868)+1,""))</f>
        <v/>
      </c>
    </row>
    <row r="1870" spans="1:27">
      <c r="A1870" s="9"/>
      <c r="Z1870">
        <f>TRIM(A1870&amp;"")</f>
        <v/>
      </c>
      <c r="AA1870">
        <f>IF(Z1870="","",IF(MATCH(SUBSTITUTE(SUBSTITUTE(SUBSTITUTE(Z1870,"~","~~"),"*","~*"),"?","~?"),$Z$5:$Z$5004,0)=1866,MAX($AA$4:AA1869)+1,""))</f>
        <v/>
      </c>
    </row>
    <row r="1871" spans="1:27">
      <c r="A1871" s="9"/>
      <c r="Z1871">
        <f>TRIM(A1871&amp;"")</f>
        <v/>
      </c>
      <c r="AA1871">
        <f>IF(Z1871="","",IF(MATCH(SUBSTITUTE(SUBSTITUTE(SUBSTITUTE(Z1871,"~","~~"),"*","~*"),"?","~?"),$Z$5:$Z$5004,0)=1867,MAX($AA$4:AA1870)+1,""))</f>
        <v/>
      </c>
    </row>
    <row r="1872" spans="1:27">
      <c r="A1872" s="9"/>
      <c r="Z1872">
        <f>TRIM(A1872&amp;"")</f>
        <v/>
      </c>
      <c r="AA1872">
        <f>IF(Z1872="","",IF(MATCH(SUBSTITUTE(SUBSTITUTE(SUBSTITUTE(Z1872,"~","~~"),"*","~*"),"?","~?"),$Z$5:$Z$5004,0)=1868,MAX($AA$4:AA1871)+1,""))</f>
        <v/>
      </c>
    </row>
    <row r="1873" spans="1:27">
      <c r="A1873" s="9"/>
      <c r="Z1873">
        <f>TRIM(A1873&amp;"")</f>
        <v/>
      </c>
      <c r="AA1873">
        <f>IF(Z1873="","",IF(MATCH(SUBSTITUTE(SUBSTITUTE(SUBSTITUTE(Z1873,"~","~~"),"*","~*"),"?","~?"),$Z$5:$Z$5004,0)=1869,MAX($AA$4:AA1872)+1,""))</f>
        <v/>
      </c>
    </row>
    <row r="1874" spans="1:27">
      <c r="A1874" s="9"/>
      <c r="Z1874">
        <f>TRIM(A1874&amp;"")</f>
        <v/>
      </c>
      <c r="AA1874">
        <f>IF(Z1874="","",IF(MATCH(SUBSTITUTE(SUBSTITUTE(SUBSTITUTE(Z1874,"~","~~"),"*","~*"),"?","~?"),$Z$5:$Z$5004,0)=1870,MAX($AA$4:AA1873)+1,""))</f>
        <v/>
      </c>
    </row>
    <row r="1875" spans="1:27">
      <c r="A1875" s="9"/>
      <c r="Z1875">
        <f>TRIM(A1875&amp;"")</f>
        <v/>
      </c>
      <c r="AA1875">
        <f>IF(Z1875="","",IF(MATCH(SUBSTITUTE(SUBSTITUTE(SUBSTITUTE(Z1875,"~","~~"),"*","~*"),"?","~?"),$Z$5:$Z$5004,0)=1871,MAX($AA$4:AA1874)+1,""))</f>
        <v/>
      </c>
    </row>
    <row r="1876" spans="1:27">
      <c r="A1876" s="9"/>
      <c r="Z1876">
        <f>TRIM(A1876&amp;"")</f>
        <v/>
      </c>
      <c r="AA1876">
        <f>IF(Z1876="","",IF(MATCH(SUBSTITUTE(SUBSTITUTE(SUBSTITUTE(Z1876,"~","~~"),"*","~*"),"?","~?"),$Z$5:$Z$5004,0)=1872,MAX($AA$4:AA1875)+1,""))</f>
        <v/>
      </c>
    </row>
    <row r="1877" spans="1:27">
      <c r="A1877" s="9"/>
      <c r="Z1877">
        <f>TRIM(A1877&amp;"")</f>
        <v/>
      </c>
      <c r="AA1877">
        <f>IF(Z1877="","",IF(MATCH(SUBSTITUTE(SUBSTITUTE(SUBSTITUTE(Z1877,"~","~~"),"*","~*"),"?","~?"),$Z$5:$Z$5004,0)=1873,MAX($AA$4:AA1876)+1,""))</f>
        <v/>
      </c>
    </row>
    <row r="1878" spans="1:27">
      <c r="A1878" s="9"/>
      <c r="Z1878">
        <f>TRIM(A1878&amp;"")</f>
        <v/>
      </c>
      <c r="AA1878">
        <f>IF(Z1878="","",IF(MATCH(SUBSTITUTE(SUBSTITUTE(SUBSTITUTE(Z1878,"~","~~"),"*","~*"),"?","~?"),$Z$5:$Z$5004,0)=1874,MAX($AA$4:AA1877)+1,""))</f>
        <v/>
      </c>
    </row>
    <row r="1879" spans="1:27">
      <c r="A1879" s="9"/>
      <c r="Z1879">
        <f>TRIM(A1879&amp;"")</f>
        <v/>
      </c>
      <c r="AA1879">
        <f>IF(Z1879="","",IF(MATCH(SUBSTITUTE(SUBSTITUTE(SUBSTITUTE(Z1879,"~","~~"),"*","~*"),"?","~?"),$Z$5:$Z$5004,0)=1875,MAX($AA$4:AA1878)+1,""))</f>
        <v/>
      </c>
    </row>
    <row r="1880" spans="1:27">
      <c r="A1880" s="9"/>
      <c r="Z1880">
        <f>TRIM(A1880&amp;"")</f>
        <v/>
      </c>
      <c r="AA1880">
        <f>IF(Z1880="","",IF(MATCH(SUBSTITUTE(SUBSTITUTE(SUBSTITUTE(Z1880,"~","~~"),"*","~*"),"?","~?"),$Z$5:$Z$5004,0)=1876,MAX($AA$4:AA1879)+1,""))</f>
        <v/>
      </c>
    </row>
    <row r="1881" spans="1:27">
      <c r="A1881" s="9"/>
      <c r="Z1881">
        <f>TRIM(A1881&amp;"")</f>
        <v/>
      </c>
      <c r="AA1881">
        <f>IF(Z1881="","",IF(MATCH(SUBSTITUTE(SUBSTITUTE(SUBSTITUTE(Z1881,"~","~~"),"*","~*"),"?","~?"),$Z$5:$Z$5004,0)=1877,MAX($AA$4:AA1880)+1,""))</f>
        <v/>
      </c>
    </row>
    <row r="1882" spans="1:27">
      <c r="A1882" s="9"/>
      <c r="Z1882">
        <f>TRIM(A1882&amp;"")</f>
        <v/>
      </c>
      <c r="AA1882">
        <f>IF(Z1882="","",IF(MATCH(SUBSTITUTE(SUBSTITUTE(SUBSTITUTE(Z1882,"~","~~"),"*","~*"),"?","~?"),$Z$5:$Z$5004,0)=1878,MAX($AA$4:AA1881)+1,""))</f>
        <v/>
      </c>
    </row>
    <row r="1883" spans="1:27">
      <c r="A1883" s="9"/>
      <c r="Z1883">
        <f>TRIM(A1883&amp;"")</f>
        <v/>
      </c>
      <c r="AA1883">
        <f>IF(Z1883="","",IF(MATCH(SUBSTITUTE(SUBSTITUTE(SUBSTITUTE(Z1883,"~","~~"),"*","~*"),"?","~?"),$Z$5:$Z$5004,0)=1879,MAX($AA$4:AA1882)+1,""))</f>
        <v/>
      </c>
    </row>
    <row r="1884" spans="1:27">
      <c r="A1884" s="9"/>
      <c r="Z1884">
        <f>TRIM(A1884&amp;"")</f>
        <v/>
      </c>
      <c r="AA1884">
        <f>IF(Z1884="","",IF(MATCH(SUBSTITUTE(SUBSTITUTE(SUBSTITUTE(Z1884,"~","~~"),"*","~*"),"?","~?"),$Z$5:$Z$5004,0)=1880,MAX($AA$4:AA1883)+1,""))</f>
        <v/>
      </c>
    </row>
    <row r="1885" spans="1:27">
      <c r="A1885" s="9"/>
      <c r="Z1885">
        <f>TRIM(A1885&amp;"")</f>
        <v/>
      </c>
      <c r="AA1885">
        <f>IF(Z1885="","",IF(MATCH(SUBSTITUTE(SUBSTITUTE(SUBSTITUTE(Z1885,"~","~~"),"*","~*"),"?","~?"),$Z$5:$Z$5004,0)=1881,MAX($AA$4:AA1884)+1,""))</f>
        <v/>
      </c>
    </row>
    <row r="1886" spans="1:27">
      <c r="A1886" s="9"/>
      <c r="Z1886">
        <f>TRIM(A1886&amp;"")</f>
        <v/>
      </c>
      <c r="AA1886">
        <f>IF(Z1886="","",IF(MATCH(SUBSTITUTE(SUBSTITUTE(SUBSTITUTE(Z1886,"~","~~"),"*","~*"),"?","~?"),$Z$5:$Z$5004,0)=1882,MAX($AA$4:AA1885)+1,""))</f>
        <v/>
      </c>
    </row>
    <row r="1887" spans="1:27">
      <c r="A1887" s="9"/>
      <c r="Z1887">
        <f>TRIM(A1887&amp;"")</f>
        <v/>
      </c>
      <c r="AA1887">
        <f>IF(Z1887="","",IF(MATCH(SUBSTITUTE(SUBSTITUTE(SUBSTITUTE(Z1887,"~","~~"),"*","~*"),"?","~?"),$Z$5:$Z$5004,0)=1883,MAX($AA$4:AA1886)+1,""))</f>
        <v/>
      </c>
    </row>
    <row r="1888" spans="1:27">
      <c r="A1888" s="9"/>
      <c r="Z1888">
        <f>TRIM(A1888&amp;"")</f>
        <v/>
      </c>
      <c r="AA1888">
        <f>IF(Z1888="","",IF(MATCH(SUBSTITUTE(SUBSTITUTE(SUBSTITUTE(Z1888,"~","~~"),"*","~*"),"?","~?"),$Z$5:$Z$5004,0)=1884,MAX($AA$4:AA1887)+1,""))</f>
        <v/>
      </c>
    </row>
    <row r="1889" spans="1:27">
      <c r="A1889" s="9"/>
      <c r="Z1889">
        <f>TRIM(A1889&amp;"")</f>
        <v/>
      </c>
      <c r="AA1889">
        <f>IF(Z1889="","",IF(MATCH(SUBSTITUTE(SUBSTITUTE(SUBSTITUTE(Z1889,"~","~~"),"*","~*"),"?","~?"),$Z$5:$Z$5004,0)=1885,MAX($AA$4:AA1888)+1,""))</f>
        <v/>
      </c>
    </row>
    <row r="1890" spans="1:27">
      <c r="A1890" s="9"/>
      <c r="Z1890">
        <f>TRIM(A1890&amp;"")</f>
        <v/>
      </c>
      <c r="AA1890">
        <f>IF(Z1890="","",IF(MATCH(SUBSTITUTE(SUBSTITUTE(SUBSTITUTE(Z1890,"~","~~"),"*","~*"),"?","~?"),$Z$5:$Z$5004,0)=1886,MAX($AA$4:AA1889)+1,""))</f>
        <v/>
      </c>
    </row>
    <row r="1891" spans="1:27">
      <c r="A1891" s="9"/>
      <c r="Z1891">
        <f>TRIM(A1891&amp;"")</f>
        <v/>
      </c>
      <c r="AA1891">
        <f>IF(Z1891="","",IF(MATCH(SUBSTITUTE(SUBSTITUTE(SUBSTITUTE(Z1891,"~","~~"),"*","~*"),"?","~?"),$Z$5:$Z$5004,0)=1887,MAX($AA$4:AA1890)+1,""))</f>
        <v/>
      </c>
    </row>
    <row r="1892" spans="1:27">
      <c r="A1892" s="9"/>
      <c r="Z1892">
        <f>TRIM(A1892&amp;"")</f>
        <v/>
      </c>
      <c r="AA1892">
        <f>IF(Z1892="","",IF(MATCH(SUBSTITUTE(SUBSTITUTE(SUBSTITUTE(Z1892,"~","~~"),"*","~*"),"?","~?"),$Z$5:$Z$5004,0)=1888,MAX($AA$4:AA1891)+1,""))</f>
        <v/>
      </c>
    </row>
    <row r="1893" spans="1:27">
      <c r="A1893" s="9"/>
      <c r="Z1893">
        <f>TRIM(A1893&amp;"")</f>
        <v/>
      </c>
      <c r="AA1893">
        <f>IF(Z1893="","",IF(MATCH(SUBSTITUTE(SUBSTITUTE(SUBSTITUTE(Z1893,"~","~~"),"*","~*"),"?","~?"),$Z$5:$Z$5004,0)=1889,MAX($AA$4:AA1892)+1,""))</f>
        <v/>
      </c>
    </row>
    <row r="1894" spans="1:27">
      <c r="A1894" s="9"/>
      <c r="Z1894">
        <f>TRIM(A1894&amp;"")</f>
        <v/>
      </c>
      <c r="AA1894">
        <f>IF(Z1894="","",IF(MATCH(SUBSTITUTE(SUBSTITUTE(SUBSTITUTE(Z1894,"~","~~"),"*","~*"),"?","~?"),$Z$5:$Z$5004,0)=1890,MAX($AA$4:AA1893)+1,""))</f>
        <v/>
      </c>
    </row>
    <row r="1895" spans="1:27">
      <c r="A1895" s="9"/>
      <c r="Z1895">
        <f>TRIM(A1895&amp;"")</f>
        <v/>
      </c>
      <c r="AA1895">
        <f>IF(Z1895="","",IF(MATCH(SUBSTITUTE(SUBSTITUTE(SUBSTITUTE(Z1895,"~","~~"),"*","~*"),"?","~?"),$Z$5:$Z$5004,0)=1891,MAX($AA$4:AA1894)+1,""))</f>
        <v/>
      </c>
    </row>
    <row r="1896" spans="1:27">
      <c r="A1896" s="9"/>
      <c r="Z1896">
        <f>TRIM(A1896&amp;"")</f>
        <v/>
      </c>
      <c r="AA1896">
        <f>IF(Z1896="","",IF(MATCH(SUBSTITUTE(SUBSTITUTE(SUBSTITUTE(Z1896,"~","~~"),"*","~*"),"?","~?"),$Z$5:$Z$5004,0)=1892,MAX($AA$4:AA1895)+1,""))</f>
        <v/>
      </c>
    </row>
    <row r="1897" spans="1:27">
      <c r="A1897" s="9"/>
      <c r="Z1897">
        <f>TRIM(A1897&amp;"")</f>
        <v/>
      </c>
      <c r="AA1897">
        <f>IF(Z1897="","",IF(MATCH(SUBSTITUTE(SUBSTITUTE(SUBSTITUTE(Z1897,"~","~~"),"*","~*"),"?","~?"),$Z$5:$Z$5004,0)=1893,MAX($AA$4:AA1896)+1,""))</f>
        <v/>
      </c>
    </row>
    <row r="1898" spans="1:27">
      <c r="A1898" s="9"/>
      <c r="Z1898">
        <f>TRIM(A1898&amp;"")</f>
        <v/>
      </c>
      <c r="AA1898">
        <f>IF(Z1898="","",IF(MATCH(SUBSTITUTE(SUBSTITUTE(SUBSTITUTE(Z1898,"~","~~"),"*","~*"),"?","~?"),$Z$5:$Z$5004,0)=1894,MAX($AA$4:AA1897)+1,""))</f>
        <v/>
      </c>
    </row>
    <row r="1899" spans="1:27">
      <c r="A1899" s="9"/>
      <c r="Z1899">
        <f>TRIM(A1899&amp;"")</f>
        <v/>
      </c>
      <c r="AA1899">
        <f>IF(Z1899="","",IF(MATCH(SUBSTITUTE(SUBSTITUTE(SUBSTITUTE(Z1899,"~","~~"),"*","~*"),"?","~?"),$Z$5:$Z$5004,0)=1895,MAX($AA$4:AA1898)+1,""))</f>
        <v/>
      </c>
    </row>
    <row r="1900" spans="1:27">
      <c r="A1900" s="9"/>
      <c r="Z1900">
        <f>TRIM(A1900&amp;"")</f>
        <v/>
      </c>
      <c r="AA1900">
        <f>IF(Z1900="","",IF(MATCH(SUBSTITUTE(SUBSTITUTE(SUBSTITUTE(Z1900,"~","~~"),"*","~*"),"?","~?"),$Z$5:$Z$5004,0)=1896,MAX($AA$4:AA1899)+1,""))</f>
        <v/>
      </c>
    </row>
    <row r="1901" spans="1:27">
      <c r="A1901" s="9"/>
      <c r="Z1901">
        <f>TRIM(A1901&amp;"")</f>
        <v/>
      </c>
      <c r="AA1901">
        <f>IF(Z1901="","",IF(MATCH(SUBSTITUTE(SUBSTITUTE(SUBSTITUTE(Z1901,"~","~~"),"*","~*"),"?","~?"),$Z$5:$Z$5004,0)=1897,MAX($AA$4:AA1900)+1,""))</f>
        <v/>
      </c>
    </row>
    <row r="1902" spans="1:27">
      <c r="A1902" s="9"/>
      <c r="Z1902">
        <f>TRIM(A1902&amp;"")</f>
        <v/>
      </c>
      <c r="AA1902">
        <f>IF(Z1902="","",IF(MATCH(SUBSTITUTE(SUBSTITUTE(SUBSTITUTE(Z1902,"~","~~"),"*","~*"),"?","~?"),$Z$5:$Z$5004,0)=1898,MAX($AA$4:AA1901)+1,""))</f>
        <v/>
      </c>
    </row>
    <row r="1903" spans="1:27">
      <c r="A1903" s="9"/>
      <c r="Z1903">
        <f>TRIM(A1903&amp;"")</f>
        <v/>
      </c>
      <c r="AA1903">
        <f>IF(Z1903="","",IF(MATCH(SUBSTITUTE(SUBSTITUTE(SUBSTITUTE(Z1903,"~","~~"),"*","~*"),"?","~?"),$Z$5:$Z$5004,0)=1899,MAX($AA$4:AA1902)+1,""))</f>
        <v/>
      </c>
    </row>
    <row r="1904" spans="1:27">
      <c r="A1904" s="9"/>
      <c r="Z1904">
        <f>TRIM(A1904&amp;"")</f>
        <v/>
      </c>
      <c r="AA1904">
        <f>IF(Z1904="","",IF(MATCH(SUBSTITUTE(SUBSTITUTE(SUBSTITUTE(Z1904,"~","~~"),"*","~*"),"?","~?"),$Z$5:$Z$5004,0)=1900,MAX($AA$4:AA1903)+1,""))</f>
        <v/>
      </c>
    </row>
    <row r="1905" spans="1:27">
      <c r="A1905" s="9"/>
      <c r="Z1905">
        <f>TRIM(A1905&amp;"")</f>
        <v/>
      </c>
      <c r="AA1905">
        <f>IF(Z1905="","",IF(MATCH(SUBSTITUTE(SUBSTITUTE(SUBSTITUTE(Z1905,"~","~~"),"*","~*"),"?","~?"),$Z$5:$Z$5004,0)=1901,MAX($AA$4:AA1904)+1,""))</f>
        <v/>
      </c>
    </row>
    <row r="1906" spans="1:27">
      <c r="A1906" s="9"/>
      <c r="Z1906">
        <f>TRIM(A1906&amp;"")</f>
        <v/>
      </c>
      <c r="AA1906">
        <f>IF(Z1906="","",IF(MATCH(SUBSTITUTE(SUBSTITUTE(SUBSTITUTE(Z1906,"~","~~"),"*","~*"),"?","~?"),$Z$5:$Z$5004,0)=1902,MAX($AA$4:AA1905)+1,""))</f>
        <v/>
      </c>
    </row>
    <row r="1907" spans="1:27">
      <c r="A1907" s="9"/>
      <c r="Z1907">
        <f>TRIM(A1907&amp;"")</f>
        <v/>
      </c>
      <c r="AA1907">
        <f>IF(Z1907="","",IF(MATCH(SUBSTITUTE(SUBSTITUTE(SUBSTITUTE(Z1907,"~","~~"),"*","~*"),"?","~?"),$Z$5:$Z$5004,0)=1903,MAX($AA$4:AA1906)+1,""))</f>
        <v/>
      </c>
    </row>
    <row r="1908" spans="1:27">
      <c r="A1908" s="9"/>
      <c r="Z1908">
        <f>TRIM(A1908&amp;"")</f>
        <v/>
      </c>
      <c r="AA1908">
        <f>IF(Z1908="","",IF(MATCH(SUBSTITUTE(SUBSTITUTE(SUBSTITUTE(Z1908,"~","~~"),"*","~*"),"?","~?"),$Z$5:$Z$5004,0)=1904,MAX($AA$4:AA1907)+1,""))</f>
        <v/>
      </c>
    </row>
    <row r="1909" spans="1:27">
      <c r="A1909" s="9"/>
      <c r="Z1909">
        <f>TRIM(A1909&amp;"")</f>
        <v/>
      </c>
      <c r="AA1909">
        <f>IF(Z1909="","",IF(MATCH(SUBSTITUTE(SUBSTITUTE(SUBSTITUTE(Z1909,"~","~~"),"*","~*"),"?","~?"),$Z$5:$Z$5004,0)=1905,MAX($AA$4:AA1908)+1,""))</f>
        <v/>
      </c>
    </row>
    <row r="1910" spans="1:27">
      <c r="A1910" s="9"/>
      <c r="Z1910">
        <f>TRIM(A1910&amp;"")</f>
        <v/>
      </c>
      <c r="AA1910">
        <f>IF(Z1910="","",IF(MATCH(SUBSTITUTE(SUBSTITUTE(SUBSTITUTE(Z1910,"~","~~"),"*","~*"),"?","~?"),$Z$5:$Z$5004,0)=1906,MAX($AA$4:AA1909)+1,""))</f>
        <v/>
      </c>
    </row>
    <row r="1911" spans="1:27">
      <c r="A1911" s="9"/>
      <c r="Z1911">
        <f>TRIM(A1911&amp;"")</f>
        <v/>
      </c>
      <c r="AA1911">
        <f>IF(Z1911="","",IF(MATCH(SUBSTITUTE(SUBSTITUTE(SUBSTITUTE(Z1911,"~","~~"),"*","~*"),"?","~?"),$Z$5:$Z$5004,0)=1907,MAX($AA$4:AA1910)+1,""))</f>
        <v/>
      </c>
    </row>
    <row r="1912" spans="1:27">
      <c r="A1912" s="9"/>
      <c r="Z1912">
        <f>TRIM(A1912&amp;"")</f>
        <v/>
      </c>
      <c r="AA1912">
        <f>IF(Z1912="","",IF(MATCH(SUBSTITUTE(SUBSTITUTE(SUBSTITUTE(Z1912,"~","~~"),"*","~*"),"?","~?"),$Z$5:$Z$5004,0)=1908,MAX($AA$4:AA1911)+1,""))</f>
        <v/>
      </c>
    </row>
    <row r="1913" spans="1:27">
      <c r="A1913" s="9"/>
      <c r="Z1913">
        <f>TRIM(A1913&amp;"")</f>
        <v/>
      </c>
      <c r="AA1913">
        <f>IF(Z1913="","",IF(MATCH(SUBSTITUTE(SUBSTITUTE(SUBSTITUTE(Z1913,"~","~~"),"*","~*"),"?","~?"),$Z$5:$Z$5004,0)=1909,MAX($AA$4:AA1912)+1,""))</f>
        <v/>
      </c>
    </row>
    <row r="1914" spans="1:27">
      <c r="A1914" s="9"/>
      <c r="Z1914">
        <f>TRIM(A1914&amp;"")</f>
        <v/>
      </c>
      <c r="AA1914">
        <f>IF(Z1914="","",IF(MATCH(SUBSTITUTE(SUBSTITUTE(SUBSTITUTE(Z1914,"~","~~"),"*","~*"),"?","~?"),$Z$5:$Z$5004,0)=1910,MAX($AA$4:AA1913)+1,""))</f>
        <v/>
      </c>
    </row>
    <row r="1915" spans="1:27">
      <c r="A1915" s="9"/>
      <c r="Z1915">
        <f>TRIM(A1915&amp;"")</f>
        <v/>
      </c>
      <c r="AA1915">
        <f>IF(Z1915="","",IF(MATCH(SUBSTITUTE(SUBSTITUTE(SUBSTITUTE(Z1915,"~","~~"),"*","~*"),"?","~?"),$Z$5:$Z$5004,0)=1911,MAX($AA$4:AA1914)+1,""))</f>
        <v/>
      </c>
    </row>
    <row r="1916" spans="1:27">
      <c r="A1916" s="9"/>
      <c r="Z1916">
        <f>TRIM(A1916&amp;"")</f>
        <v/>
      </c>
      <c r="AA1916">
        <f>IF(Z1916="","",IF(MATCH(SUBSTITUTE(SUBSTITUTE(SUBSTITUTE(Z1916,"~","~~"),"*","~*"),"?","~?"),$Z$5:$Z$5004,0)=1912,MAX($AA$4:AA1915)+1,""))</f>
        <v/>
      </c>
    </row>
    <row r="1917" spans="1:27">
      <c r="A1917" s="9"/>
      <c r="Z1917">
        <f>TRIM(A1917&amp;"")</f>
        <v/>
      </c>
      <c r="AA1917">
        <f>IF(Z1917="","",IF(MATCH(SUBSTITUTE(SUBSTITUTE(SUBSTITUTE(Z1917,"~","~~"),"*","~*"),"?","~?"),$Z$5:$Z$5004,0)=1913,MAX($AA$4:AA1916)+1,""))</f>
        <v/>
      </c>
    </row>
    <row r="1918" spans="1:27">
      <c r="A1918" s="9"/>
      <c r="Z1918">
        <f>TRIM(A1918&amp;"")</f>
        <v/>
      </c>
      <c r="AA1918">
        <f>IF(Z1918="","",IF(MATCH(SUBSTITUTE(SUBSTITUTE(SUBSTITUTE(Z1918,"~","~~"),"*","~*"),"?","~?"),$Z$5:$Z$5004,0)=1914,MAX($AA$4:AA1917)+1,""))</f>
        <v/>
      </c>
    </row>
    <row r="1919" spans="1:27">
      <c r="A1919" s="9"/>
      <c r="Z1919">
        <f>TRIM(A1919&amp;"")</f>
        <v/>
      </c>
      <c r="AA1919">
        <f>IF(Z1919="","",IF(MATCH(SUBSTITUTE(SUBSTITUTE(SUBSTITUTE(Z1919,"~","~~"),"*","~*"),"?","~?"),$Z$5:$Z$5004,0)=1915,MAX($AA$4:AA1918)+1,""))</f>
        <v/>
      </c>
    </row>
    <row r="1920" spans="1:27">
      <c r="A1920" s="9"/>
      <c r="Z1920">
        <f>TRIM(A1920&amp;"")</f>
        <v/>
      </c>
      <c r="AA1920">
        <f>IF(Z1920="","",IF(MATCH(SUBSTITUTE(SUBSTITUTE(SUBSTITUTE(Z1920,"~","~~"),"*","~*"),"?","~?"),$Z$5:$Z$5004,0)=1916,MAX($AA$4:AA1919)+1,""))</f>
        <v/>
      </c>
    </row>
    <row r="1921" spans="1:27">
      <c r="A1921" s="9"/>
      <c r="Z1921">
        <f>TRIM(A1921&amp;"")</f>
        <v/>
      </c>
      <c r="AA1921">
        <f>IF(Z1921="","",IF(MATCH(SUBSTITUTE(SUBSTITUTE(SUBSTITUTE(Z1921,"~","~~"),"*","~*"),"?","~?"),$Z$5:$Z$5004,0)=1917,MAX($AA$4:AA1920)+1,""))</f>
        <v/>
      </c>
    </row>
    <row r="1922" spans="1:27">
      <c r="A1922" s="9"/>
      <c r="Z1922">
        <f>TRIM(A1922&amp;"")</f>
        <v/>
      </c>
      <c r="AA1922">
        <f>IF(Z1922="","",IF(MATCH(SUBSTITUTE(SUBSTITUTE(SUBSTITUTE(Z1922,"~","~~"),"*","~*"),"?","~?"),$Z$5:$Z$5004,0)=1918,MAX($AA$4:AA1921)+1,""))</f>
        <v/>
      </c>
    </row>
    <row r="1923" spans="1:27">
      <c r="A1923" s="9"/>
      <c r="Z1923">
        <f>TRIM(A1923&amp;"")</f>
        <v/>
      </c>
      <c r="AA1923">
        <f>IF(Z1923="","",IF(MATCH(SUBSTITUTE(SUBSTITUTE(SUBSTITUTE(Z1923,"~","~~"),"*","~*"),"?","~?"),$Z$5:$Z$5004,0)=1919,MAX($AA$4:AA1922)+1,""))</f>
        <v/>
      </c>
    </row>
    <row r="1924" spans="1:27">
      <c r="A1924" s="9"/>
      <c r="Z1924">
        <f>TRIM(A1924&amp;"")</f>
        <v/>
      </c>
      <c r="AA1924">
        <f>IF(Z1924="","",IF(MATCH(SUBSTITUTE(SUBSTITUTE(SUBSTITUTE(Z1924,"~","~~"),"*","~*"),"?","~?"),$Z$5:$Z$5004,0)=1920,MAX($AA$4:AA1923)+1,""))</f>
        <v/>
      </c>
    </row>
    <row r="1925" spans="1:27">
      <c r="A1925" s="9"/>
      <c r="Z1925">
        <f>TRIM(A1925&amp;"")</f>
        <v/>
      </c>
      <c r="AA1925">
        <f>IF(Z1925="","",IF(MATCH(SUBSTITUTE(SUBSTITUTE(SUBSTITUTE(Z1925,"~","~~"),"*","~*"),"?","~?"),$Z$5:$Z$5004,0)=1921,MAX($AA$4:AA1924)+1,""))</f>
        <v/>
      </c>
    </row>
    <row r="1926" spans="1:27">
      <c r="A1926" s="9"/>
      <c r="Z1926">
        <f>TRIM(A1926&amp;"")</f>
        <v/>
      </c>
      <c r="AA1926">
        <f>IF(Z1926="","",IF(MATCH(SUBSTITUTE(SUBSTITUTE(SUBSTITUTE(Z1926,"~","~~"),"*","~*"),"?","~?"),$Z$5:$Z$5004,0)=1922,MAX($AA$4:AA1925)+1,""))</f>
        <v/>
      </c>
    </row>
    <row r="1927" spans="1:27">
      <c r="A1927" s="9"/>
      <c r="Z1927">
        <f>TRIM(A1927&amp;"")</f>
        <v/>
      </c>
      <c r="AA1927">
        <f>IF(Z1927="","",IF(MATCH(SUBSTITUTE(SUBSTITUTE(SUBSTITUTE(Z1927,"~","~~"),"*","~*"),"?","~?"),$Z$5:$Z$5004,0)=1923,MAX($AA$4:AA1926)+1,""))</f>
        <v/>
      </c>
    </row>
    <row r="1928" spans="1:27">
      <c r="A1928" s="9"/>
      <c r="Z1928">
        <f>TRIM(A1928&amp;"")</f>
        <v/>
      </c>
      <c r="AA1928">
        <f>IF(Z1928="","",IF(MATCH(SUBSTITUTE(SUBSTITUTE(SUBSTITUTE(Z1928,"~","~~"),"*","~*"),"?","~?"),$Z$5:$Z$5004,0)=1924,MAX($AA$4:AA1927)+1,""))</f>
        <v/>
      </c>
    </row>
    <row r="1929" spans="1:27">
      <c r="A1929" s="9"/>
      <c r="Z1929">
        <f>TRIM(A1929&amp;"")</f>
        <v/>
      </c>
      <c r="AA1929">
        <f>IF(Z1929="","",IF(MATCH(SUBSTITUTE(SUBSTITUTE(SUBSTITUTE(Z1929,"~","~~"),"*","~*"),"?","~?"),$Z$5:$Z$5004,0)=1925,MAX($AA$4:AA1928)+1,""))</f>
        <v/>
      </c>
    </row>
    <row r="1930" spans="1:27">
      <c r="A1930" s="9"/>
      <c r="Z1930">
        <f>TRIM(A1930&amp;"")</f>
        <v/>
      </c>
      <c r="AA1930">
        <f>IF(Z1930="","",IF(MATCH(SUBSTITUTE(SUBSTITUTE(SUBSTITUTE(Z1930,"~","~~"),"*","~*"),"?","~?"),$Z$5:$Z$5004,0)=1926,MAX($AA$4:AA1929)+1,""))</f>
        <v/>
      </c>
    </row>
    <row r="1931" spans="1:27">
      <c r="A1931" s="9"/>
      <c r="Z1931">
        <f>TRIM(A1931&amp;"")</f>
        <v/>
      </c>
      <c r="AA1931">
        <f>IF(Z1931="","",IF(MATCH(SUBSTITUTE(SUBSTITUTE(SUBSTITUTE(Z1931,"~","~~"),"*","~*"),"?","~?"),$Z$5:$Z$5004,0)=1927,MAX($AA$4:AA1930)+1,""))</f>
        <v/>
      </c>
    </row>
    <row r="1932" spans="1:27">
      <c r="A1932" s="9"/>
      <c r="Z1932">
        <f>TRIM(A1932&amp;"")</f>
        <v/>
      </c>
      <c r="AA1932">
        <f>IF(Z1932="","",IF(MATCH(SUBSTITUTE(SUBSTITUTE(SUBSTITUTE(Z1932,"~","~~"),"*","~*"),"?","~?"),$Z$5:$Z$5004,0)=1928,MAX($AA$4:AA1931)+1,""))</f>
        <v/>
      </c>
    </row>
    <row r="1933" spans="1:27">
      <c r="A1933" s="9"/>
      <c r="Z1933">
        <f>TRIM(A1933&amp;"")</f>
        <v/>
      </c>
      <c r="AA1933">
        <f>IF(Z1933="","",IF(MATCH(SUBSTITUTE(SUBSTITUTE(SUBSTITUTE(Z1933,"~","~~"),"*","~*"),"?","~?"),$Z$5:$Z$5004,0)=1929,MAX($AA$4:AA1932)+1,""))</f>
        <v/>
      </c>
    </row>
    <row r="1934" spans="1:27">
      <c r="A1934" s="9"/>
      <c r="Z1934">
        <f>TRIM(A1934&amp;"")</f>
        <v/>
      </c>
      <c r="AA1934">
        <f>IF(Z1934="","",IF(MATCH(SUBSTITUTE(SUBSTITUTE(SUBSTITUTE(Z1934,"~","~~"),"*","~*"),"?","~?"),$Z$5:$Z$5004,0)=1930,MAX($AA$4:AA1933)+1,""))</f>
        <v/>
      </c>
    </row>
    <row r="1935" spans="1:27">
      <c r="A1935" s="9"/>
      <c r="Z1935">
        <f>TRIM(A1935&amp;"")</f>
        <v/>
      </c>
      <c r="AA1935">
        <f>IF(Z1935="","",IF(MATCH(SUBSTITUTE(SUBSTITUTE(SUBSTITUTE(Z1935,"~","~~"),"*","~*"),"?","~?"),$Z$5:$Z$5004,0)=1931,MAX($AA$4:AA1934)+1,""))</f>
        <v/>
      </c>
    </row>
    <row r="1936" spans="1:27">
      <c r="A1936" s="9"/>
      <c r="Z1936">
        <f>TRIM(A1936&amp;"")</f>
        <v/>
      </c>
      <c r="AA1936">
        <f>IF(Z1936="","",IF(MATCH(SUBSTITUTE(SUBSTITUTE(SUBSTITUTE(Z1936,"~","~~"),"*","~*"),"?","~?"),$Z$5:$Z$5004,0)=1932,MAX($AA$4:AA1935)+1,""))</f>
        <v/>
      </c>
    </row>
    <row r="1937" spans="1:27">
      <c r="A1937" s="9"/>
      <c r="Z1937">
        <f>TRIM(A1937&amp;"")</f>
        <v/>
      </c>
      <c r="AA1937">
        <f>IF(Z1937="","",IF(MATCH(SUBSTITUTE(SUBSTITUTE(SUBSTITUTE(Z1937,"~","~~"),"*","~*"),"?","~?"),$Z$5:$Z$5004,0)=1933,MAX($AA$4:AA1936)+1,""))</f>
        <v/>
      </c>
    </row>
    <row r="1938" spans="1:27">
      <c r="A1938" s="9"/>
      <c r="Z1938">
        <f>TRIM(A1938&amp;"")</f>
        <v/>
      </c>
      <c r="AA1938">
        <f>IF(Z1938="","",IF(MATCH(SUBSTITUTE(SUBSTITUTE(SUBSTITUTE(Z1938,"~","~~"),"*","~*"),"?","~?"),$Z$5:$Z$5004,0)=1934,MAX($AA$4:AA1937)+1,""))</f>
        <v/>
      </c>
    </row>
    <row r="1939" spans="1:27">
      <c r="A1939" s="9"/>
      <c r="Z1939">
        <f>TRIM(A1939&amp;"")</f>
        <v/>
      </c>
      <c r="AA1939">
        <f>IF(Z1939="","",IF(MATCH(SUBSTITUTE(SUBSTITUTE(SUBSTITUTE(Z1939,"~","~~"),"*","~*"),"?","~?"),$Z$5:$Z$5004,0)=1935,MAX($AA$4:AA1938)+1,""))</f>
        <v/>
      </c>
    </row>
    <row r="1940" spans="1:27">
      <c r="A1940" s="9"/>
      <c r="Z1940">
        <f>TRIM(A1940&amp;"")</f>
        <v/>
      </c>
      <c r="AA1940">
        <f>IF(Z1940="","",IF(MATCH(SUBSTITUTE(SUBSTITUTE(SUBSTITUTE(Z1940,"~","~~"),"*","~*"),"?","~?"),$Z$5:$Z$5004,0)=1936,MAX($AA$4:AA1939)+1,""))</f>
        <v/>
      </c>
    </row>
    <row r="1941" spans="1:27">
      <c r="A1941" s="9"/>
      <c r="Z1941">
        <f>TRIM(A1941&amp;"")</f>
        <v/>
      </c>
      <c r="AA1941">
        <f>IF(Z1941="","",IF(MATCH(SUBSTITUTE(SUBSTITUTE(SUBSTITUTE(Z1941,"~","~~"),"*","~*"),"?","~?"),$Z$5:$Z$5004,0)=1937,MAX($AA$4:AA1940)+1,""))</f>
        <v/>
      </c>
    </row>
    <row r="1942" spans="1:27">
      <c r="A1942" s="9"/>
      <c r="Z1942">
        <f>TRIM(A1942&amp;"")</f>
        <v/>
      </c>
      <c r="AA1942">
        <f>IF(Z1942="","",IF(MATCH(SUBSTITUTE(SUBSTITUTE(SUBSTITUTE(Z1942,"~","~~"),"*","~*"),"?","~?"),$Z$5:$Z$5004,0)=1938,MAX($AA$4:AA1941)+1,""))</f>
        <v/>
      </c>
    </row>
    <row r="1943" spans="1:27">
      <c r="A1943" s="9"/>
      <c r="Z1943">
        <f>TRIM(A1943&amp;"")</f>
        <v/>
      </c>
      <c r="AA1943">
        <f>IF(Z1943="","",IF(MATCH(SUBSTITUTE(SUBSTITUTE(SUBSTITUTE(Z1943,"~","~~"),"*","~*"),"?","~?"),$Z$5:$Z$5004,0)=1939,MAX($AA$4:AA1942)+1,""))</f>
        <v/>
      </c>
    </row>
    <row r="1944" spans="1:27">
      <c r="A1944" s="9"/>
      <c r="Z1944">
        <f>TRIM(A1944&amp;"")</f>
        <v/>
      </c>
      <c r="AA1944">
        <f>IF(Z1944="","",IF(MATCH(SUBSTITUTE(SUBSTITUTE(SUBSTITUTE(Z1944,"~","~~"),"*","~*"),"?","~?"),$Z$5:$Z$5004,0)=1940,MAX($AA$4:AA1943)+1,""))</f>
        <v/>
      </c>
    </row>
    <row r="1945" spans="1:27">
      <c r="A1945" s="9"/>
      <c r="Z1945">
        <f>TRIM(A1945&amp;"")</f>
        <v/>
      </c>
      <c r="AA1945">
        <f>IF(Z1945="","",IF(MATCH(SUBSTITUTE(SUBSTITUTE(SUBSTITUTE(Z1945,"~","~~"),"*","~*"),"?","~?"),$Z$5:$Z$5004,0)=1941,MAX($AA$4:AA1944)+1,""))</f>
        <v/>
      </c>
    </row>
    <row r="1946" spans="1:27">
      <c r="A1946" s="9"/>
      <c r="Z1946">
        <f>TRIM(A1946&amp;"")</f>
        <v/>
      </c>
      <c r="AA1946">
        <f>IF(Z1946="","",IF(MATCH(SUBSTITUTE(SUBSTITUTE(SUBSTITUTE(Z1946,"~","~~"),"*","~*"),"?","~?"),$Z$5:$Z$5004,0)=1942,MAX($AA$4:AA1945)+1,""))</f>
        <v/>
      </c>
    </row>
    <row r="1947" spans="1:27">
      <c r="A1947" s="9"/>
      <c r="Z1947">
        <f>TRIM(A1947&amp;"")</f>
        <v/>
      </c>
      <c r="AA1947">
        <f>IF(Z1947="","",IF(MATCH(SUBSTITUTE(SUBSTITUTE(SUBSTITUTE(Z1947,"~","~~"),"*","~*"),"?","~?"),$Z$5:$Z$5004,0)=1943,MAX($AA$4:AA1946)+1,""))</f>
        <v/>
      </c>
    </row>
    <row r="1948" spans="1:27">
      <c r="A1948" s="9"/>
      <c r="Z1948">
        <f>TRIM(A1948&amp;"")</f>
        <v/>
      </c>
      <c r="AA1948">
        <f>IF(Z1948="","",IF(MATCH(SUBSTITUTE(SUBSTITUTE(SUBSTITUTE(Z1948,"~","~~"),"*","~*"),"?","~?"),$Z$5:$Z$5004,0)=1944,MAX($AA$4:AA1947)+1,""))</f>
        <v/>
      </c>
    </row>
    <row r="1949" spans="1:27">
      <c r="A1949" s="9"/>
      <c r="Z1949">
        <f>TRIM(A1949&amp;"")</f>
        <v/>
      </c>
      <c r="AA1949">
        <f>IF(Z1949="","",IF(MATCH(SUBSTITUTE(SUBSTITUTE(SUBSTITUTE(Z1949,"~","~~"),"*","~*"),"?","~?"),$Z$5:$Z$5004,0)=1945,MAX($AA$4:AA1948)+1,""))</f>
        <v/>
      </c>
    </row>
    <row r="1950" spans="1:27">
      <c r="A1950" s="9"/>
      <c r="Z1950">
        <f>TRIM(A1950&amp;"")</f>
        <v/>
      </c>
      <c r="AA1950">
        <f>IF(Z1950="","",IF(MATCH(SUBSTITUTE(SUBSTITUTE(SUBSTITUTE(Z1950,"~","~~"),"*","~*"),"?","~?"),$Z$5:$Z$5004,0)=1946,MAX($AA$4:AA1949)+1,""))</f>
        <v/>
      </c>
    </row>
    <row r="1951" spans="1:27">
      <c r="A1951" s="9"/>
      <c r="Z1951">
        <f>TRIM(A1951&amp;"")</f>
        <v/>
      </c>
      <c r="AA1951">
        <f>IF(Z1951="","",IF(MATCH(SUBSTITUTE(SUBSTITUTE(SUBSTITUTE(Z1951,"~","~~"),"*","~*"),"?","~?"),$Z$5:$Z$5004,0)=1947,MAX($AA$4:AA1950)+1,""))</f>
        <v/>
      </c>
    </row>
    <row r="1952" spans="1:27">
      <c r="A1952" s="9"/>
      <c r="Z1952">
        <f>TRIM(A1952&amp;"")</f>
        <v/>
      </c>
      <c r="AA1952">
        <f>IF(Z1952="","",IF(MATCH(SUBSTITUTE(SUBSTITUTE(SUBSTITUTE(Z1952,"~","~~"),"*","~*"),"?","~?"),$Z$5:$Z$5004,0)=1948,MAX($AA$4:AA1951)+1,""))</f>
        <v/>
      </c>
    </row>
    <row r="1953" spans="1:27">
      <c r="A1953" s="9"/>
      <c r="Z1953">
        <f>TRIM(A1953&amp;"")</f>
        <v/>
      </c>
      <c r="AA1953">
        <f>IF(Z1953="","",IF(MATCH(SUBSTITUTE(SUBSTITUTE(SUBSTITUTE(Z1953,"~","~~"),"*","~*"),"?","~?"),$Z$5:$Z$5004,0)=1949,MAX($AA$4:AA1952)+1,""))</f>
        <v/>
      </c>
    </row>
    <row r="1954" spans="1:27">
      <c r="A1954" s="9"/>
      <c r="Z1954">
        <f>TRIM(A1954&amp;"")</f>
        <v/>
      </c>
      <c r="AA1954">
        <f>IF(Z1954="","",IF(MATCH(SUBSTITUTE(SUBSTITUTE(SUBSTITUTE(Z1954,"~","~~"),"*","~*"),"?","~?"),$Z$5:$Z$5004,0)=1950,MAX($AA$4:AA1953)+1,""))</f>
        <v/>
      </c>
    </row>
    <row r="1955" spans="1:27">
      <c r="A1955" s="9"/>
      <c r="Z1955">
        <f>TRIM(A1955&amp;"")</f>
        <v/>
      </c>
      <c r="AA1955">
        <f>IF(Z1955="","",IF(MATCH(SUBSTITUTE(SUBSTITUTE(SUBSTITUTE(Z1955,"~","~~"),"*","~*"),"?","~?"),$Z$5:$Z$5004,0)=1951,MAX($AA$4:AA1954)+1,""))</f>
        <v/>
      </c>
    </row>
    <row r="1956" spans="1:27">
      <c r="A1956" s="9"/>
      <c r="Z1956">
        <f>TRIM(A1956&amp;"")</f>
        <v/>
      </c>
      <c r="AA1956">
        <f>IF(Z1956="","",IF(MATCH(SUBSTITUTE(SUBSTITUTE(SUBSTITUTE(Z1956,"~","~~"),"*","~*"),"?","~?"),$Z$5:$Z$5004,0)=1952,MAX($AA$4:AA1955)+1,""))</f>
        <v/>
      </c>
    </row>
    <row r="1957" spans="1:27">
      <c r="A1957" s="9"/>
      <c r="Z1957">
        <f>TRIM(A1957&amp;"")</f>
        <v/>
      </c>
      <c r="AA1957">
        <f>IF(Z1957="","",IF(MATCH(SUBSTITUTE(SUBSTITUTE(SUBSTITUTE(Z1957,"~","~~"),"*","~*"),"?","~?"),$Z$5:$Z$5004,0)=1953,MAX($AA$4:AA1956)+1,""))</f>
        <v/>
      </c>
    </row>
    <row r="1958" spans="1:27">
      <c r="A1958" s="9"/>
      <c r="Z1958">
        <f>TRIM(A1958&amp;"")</f>
        <v/>
      </c>
      <c r="AA1958">
        <f>IF(Z1958="","",IF(MATCH(SUBSTITUTE(SUBSTITUTE(SUBSTITUTE(Z1958,"~","~~"),"*","~*"),"?","~?"),$Z$5:$Z$5004,0)=1954,MAX($AA$4:AA1957)+1,""))</f>
        <v/>
      </c>
    </row>
    <row r="1959" spans="1:27">
      <c r="A1959" s="9"/>
      <c r="Z1959">
        <f>TRIM(A1959&amp;"")</f>
        <v/>
      </c>
      <c r="AA1959">
        <f>IF(Z1959="","",IF(MATCH(SUBSTITUTE(SUBSTITUTE(SUBSTITUTE(Z1959,"~","~~"),"*","~*"),"?","~?"),$Z$5:$Z$5004,0)=1955,MAX($AA$4:AA1958)+1,""))</f>
        <v/>
      </c>
    </row>
    <row r="1960" spans="1:27">
      <c r="A1960" s="9"/>
      <c r="Z1960">
        <f>TRIM(A1960&amp;"")</f>
        <v/>
      </c>
      <c r="AA1960">
        <f>IF(Z1960="","",IF(MATCH(SUBSTITUTE(SUBSTITUTE(SUBSTITUTE(Z1960,"~","~~"),"*","~*"),"?","~?"),$Z$5:$Z$5004,0)=1956,MAX($AA$4:AA1959)+1,""))</f>
        <v/>
      </c>
    </row>
    <row r="1961" spans="1:27">
      <c r="A1961" s="9"/>
      <c r="Z1961">
        <f>TRIM(A1961&amp;"")</f>
        <v/>
      </c>
      <c r="AA1961">
        <f>IF(Z1961="","",IF(MATCH(SUBSTITUTE(SUBSTITUTE(SUBSTITUTE(Z1961,"~","~~"),"*","~*"),"?","~?"),$Z$5:$Z$5004,0)=1957,MAX($AA$4:AA1960)+1,""))</f>
        <v/>
      </c>
    </row>
    <row r="1962" spans="1:27">
      <c r="A1962" s="9"/>
      <c r="Z1962">
        <f>TRIM(A1962&amp;"")</f>
        <v/>
      </c>
      <c r="AA1962">
        <f>IF(Z1962="","",IF(MATCH(SUBSTITUTE(SUBSTITUTE(SUBSTITUTE(Z1962,"~","~~"),"*","~*"),"?","~?"),$Z$5:$Z$5004,0)=1958,MAX($AA$4:AA1961)+1,""))</f>
        <v/>
      </c>
    </row>
    <row r="1963" spans="1:27">
      <c r="A1963" s="9"/>
      <c r="Z1963">
        <f>TRIM(A1963&amp;"")</f>
        <v/>
      </c>
      <c r="AA1963">
        <f>IF(Z1963="","",IF(MATCH(SUBSTITUTE(SUBSTITUTE(SUBSTITUTE(Z1963,"~","~~"),"*","~*"),"?","~?"),$Z$5:$Z$5004,0)=1959,MAX($AA$4:AA1962)+1,""))</f>
        <v/>
      </c>
    </row>
    <row r="1964" spans="1:27">
      <c r="A1964" s="9"/>
      <c r="Z1964">
        <f>TRIM(A1964&amp;"")</f>
        <v/>
      </c>
      <c r="AA1964">
        <f>IF(Z1964="","",IF(MATCH(SUBSTITUTE(SUBSTITUTE(SUBSTITUTE(Z1964,"~","~~"),"*","~*"),"?","~?"),$Z$5:$Z$5004,0)=1960,MAX($AA$4:AA1963)+1,""))</f>
        <v/>
      </c>
    </row>
    <row r="1965" spans="1:27">
      <c r="A1965" s="9"/>
      <c r="Z1965">
        <f>TRIM(A1965&amp;"")</f>
        <v/>
      </c>
      <c r="AA1965">
        <f>IF(Z1965="","",IF(MATCH(SUBSTITUTE(SUBSTITUTE(SUBSTITUTE(Z1965,"~","~~"),"*","~*"),"?","~?"),$Z$5:$Z$5004,0)=1961,MAX($AA$4:AA1964)+1,""))</f>
        <v/>
      </c>
    </row>
    <row r="1966" spans="1:27">
      <c r="A1966" s="9"/>
      <c r="Z1966">
        <f>TRIM(A1966&amp;"")</f>
        <v/>
      </c>
      <c r="AA1966">
        <f>IF(Z1966="","",IF(MATCH(SUBSTITUTE(SUBSTITUTE(SUBSTITUTE(Z1966,"~","~~"),"*","~*"),"?","~?"),$Z$5:$Z$5004,0)=1962,MAX($AA$4:AA1965)+1,""))</f>
        <v/>
      </c>
    </row>
    <row r="1967" spans="1:27">
      <c r="A1967" s="9"/>
      <c r="Z1967">
        <f>TRIM(A1967&amp;"")</f>
        <v/>
      </c>
      <c r="AA1967">
        <f>IF(Z1967="","",IF(MATCH(SUBSTITUTE(SUBSTITUTE(SUBSTITUTE(Z1967,"~","~~"),"*","~*"),"?","~?"),$Z$5:$Z$5004,0)=1963,MAX($AA$4:AA1966)+1,""))</f>
        <v/>
      </c>
    </row>
    <row r="1968" spans="1:27">
      <c r="A1968" s="9"/>
      <c r="Z1968">
        <f>TRIM(A1968&amp;"")</f>
        <v/>
      </c>
      <c r="AA1968">
        <f>IF(Z1968="","",IF(MATCH(SUBSTITUTE(SUBSTITUTE(SUBSTITUTE(Z1968,"~","~~"),"*","~*"),"?","~?"),$Z$5:$Z$5004,0)=1964,MAX($AA$4:AA1967)+1,""))</f>
        <v/>
      </c>
    </row>
    <row r="1969" spans="1:27">
      <c r="A1969" s="9"/>
      <c r="Z1969">
        <f>TRIM(A1969&amp;"")</f>
        <v/>
      </c>
      <c r="AA1969">
        <f>IF(Z1969="","",IF(MATCH(SUBSTITUTE(SUBSTITUTE(SUBSTITUTE(Z1969,"~","~~"),"*","~*"),"?","~?"),$Z$5:$Z$5004,0)=1965,MAX($AA$4:AA1968)+1,""))</f>
        <v/>
      </c>
    </row>
    <row r="1970" spans="1:27">
      <c r="A1970" s="9"/>
      <c r="Z1970">
        <f>TRIM(A1970&amp;"")</f>
        <v/>
      </c>
      <c r="AA1970">
        <f>IF(Z1970="","",IF(MATCH(SUBSTITUTE(SUBSTITUTE(SUBSTITUTE(Z1970,"~","~~"),"*","~*"),"?","~?"),$Z$5:$Z$5004,0)=1966,MAX($AA$4:AA1969)+1,""))</f>
        <v/>
      </c>
    </row>
    <row r="1971" spans="1:27">
      <c r="A1971" s="9"/>
      <c r="Z1971">
        <f>TRIM(A1971&amp;"")</f>
        <v/>
      </c>
      <c r="AA1971">
        <f>IF(Z1971="","",IF(MATCH(SUBSTITUTE(SUBSTITUTE(SUBSTITUTE(Z1971,"~","~~"),"*","~*"),"?","~?"),$Z$5:$Z$5004,0)=1967,MAX($AA$4:AA1970)+1,""))</f>
        <v/>
      </c>
    </row>
    <row r="1972" spans="1:27">
      <c r="A1972" s="9"/>
      <c r="Z1972">
        <f>TRIM(A1972&amp;"")</f>
        <v/>
      </c>
      <c r="AA1972">
        <f>IF(Z1972="","",IF(MATCH(SUBSTITUTE(SUBSTITUTE(SUBSTITUTE(Z1972,"~","~~"),"*","~*"),"?","~?"),$Z$5:$Z$5004,0)=1968,MAX($AA$4:AA1971)+1,""))</f>
        <v/>
      </c>
    </row>
    <row r="1973" spans="1:27">
      <c r="A1973" s="9"/>
      <c r="Z1973">
        <f>TRIM(A1973&amp;"")</f>
        <v/>
      </c>
      <c r="AA1973">
        <f>IF(Z1973="","",IF(MATCH(SUBSTITUTE(SUBSTITUTE(SUBSTITUTE(Z1973,"~","~~"),"*","~*"),"?","~?"),$Z$5:$Z$5004,0)=1969,MAX($AA$4:AA1972)+1,""))</f>
        <v/>
      </c>
    </row>
    <row r="1974" spans="1:27">
      <c r="A1974" s="9"/>
      <c r="Z1974">
        <f>TRIM(A1974&amp;"")</f>
        <v/>
      </c>
      <c r="AA1974">
        <f>IF(Z1974="","",IF(MATCH(SUBSTITUTE(SUBSTITUTE(SUBSTITUTE(Z1974,"~","~~"),"*","~*"),"?","~?"),$Z$5:$Z$5004,0)=1970,MAX($AA$4:AA1973)+1,""))</f>
        <v/>
      </c>
    </row>
    <row r="1975" spans="1:27">
      <c r="A1975" s="9"/>
      <c r="Z1975">
        <f>TRIM(A1975&amp;"")</f>
        <v/>
      </c>
      <c r="AA1975">
        <f>IF(Z1975="","",IF(MATCH(SUBSTITUTE(SUBSTITUTE(SUBSTITUTE(Z1975,"~","~~"),"*","~*"),"?","~?"),$Z$5:$Z$5004,0)=1971,MAX($AA$4:AA1974)+1,""))</f>
        <v/>
      </c>
    </row>
    <row r="1976" spans="1:27">
      <c r="A1976" s="9"/>
      <c r="Z1976">
        <f>TRIM(A1976&amp;"")</f>
        <v/>
      </c>
      <c r="AA1976">
        <f>IF(Z1976="","",IF(MATCH(SUBSTITUTE(SUBSTITUTE(SUBSTITUTE(Z1976,"~","~~"),"*","~*"),"?","~?"),$Z$5:$Z$5004,0)=1972,MAX($AA$4:AA1975)+1,""))</f>
        <v/>
      </c>
    </row>
    <row r="1977" spans="1:27">
      <c r="A1977" s="9"/>
      <c r="Z1977">
        <f>TRIM(A1977&amp;"")</f>
        <v/>
      </c>
      <c r="AA1977">
        <f>IF(Z1977="","",IF(MATCH(SUBSTITUTE(SUBSTITUTE(SUBSTITUTE(Z1977,"~","~~"),"*","~*"),"?","~?"),$Z$5:$Z$5004,0)=1973,MAX($AA$4:AA1976)+1,""))</f>
        <v/>
      </c>
    </row>
    <row r="1978" spans="1:27">
      <c r="A1978" s="9"/>
      <c r="Z1978">
        <f>TRIM(A1978&amp;"")</f>
        <v/>
      </c>
      <c r="AA1978">
        <f>IF(Z1978="","",IF(MATCH(SUBSTITUTE(SUBSTITUTE(SUBSTITUTE(Z1978,"~","~~"),"*","~*"),"?","~?"),$Z$5:$Z$5004,0)=1974,MAX($AA$4:AA1977)+1,""))</f>
        <v/>
      </c>
    </row>
    <row r="1979" spans="1:27">
      <c r="A1979" s="9"/>
      <c r="Z1979">
        <f>TRIM(A1979&amp;"")</f>
        <v/>
      </c>
      <c r="AA1979">
        <f>IF(Z1979="","",IF(MATCH(SUBSTITUTE(SUBSTITUTE(SUBSTITUTE(Z1979,"~","~~"),"*","~*"),"?","~?"),$Z$5:$Z$5004,0)=1975,MAX($AA$4:AA1978)+1,""))</f>
        <v/>
      </c>
    </row>
    <row r="1980" spans="1:27">
      <c r="A1980" s="9"/>
      <c r="Z1980">
        <f>TRIM(A1980&amp;"")</f>
        <v/>
      </c>
      <c r="AA1980">
        <f>IF(Z1980="","",IF(MATCH(SUBSTITUTE(SUBSTITUTE(SUBSTITUTE(Z1980,"~","~~"),"*","~*"),"?","~?"),$Z$5:$Z$5004,0)=1976,MAX($AA$4:AA1979)+1,""))</f>
        <v/>
      </c>
    </row>
    <row r="1981" spans="1:27">
      <c r="A1981" s="9"/>
      <c r="Z1981">
        <f>TRIM(A1981&amp;"")</f>
        <v/>
      </c>
      <c r="AA1981">
        <f>IF(Z1981="","",IF(MATCH(SUBSTITUTE(SUBSTITUTE(SUBSTITUTE(Z1981,"~","~~"),"*","~*"),"?","~?"),$Z$5:$Z$5004,0)=1977,MAX($AA$4:AA1980)+1,""))</f>
        <v/>
      </c>
    </row>
    <row r="1982" spans="1:27">
      <c r="A1982" s="9"/>
      <c r="Z1982">
        <f>TRIM(A1982&amp;"")</f>
        <v/>
      </c>
      <c r="AA1982">
        <f>IF(Z1982="","",IF(MATCH(SUBSTITUTE(SUBSTITUTE(SUBSTITUTE(Z1982,"~","~~"),"*","~*"),"?","~?"),$Z$5:$Z$5004,0)=1978,MAX($AA$4:AA1981)+1,""))</f>
        <v/>
      </c>
    </row>
    <row r="1983" spans="1:27">
      <c r="A1983" s="9"/>
      <c r="Z1983">
        <f>TRIM(A1983&amp;"")</f>
        <v/>
      </c>
      <c r="AA1983">
        <f>IF(Z1983="","",IF(MATCH(SUBSTITUTE(SUBSTITUTE(SUBSTITUTE(Z1983,"~","~~"),"*","~*"),"?","~?"),$Z$5:$Z$5004,0)=1979,MAX($AA$4:AA1982)+1,""))</f>
        <v/>
      </c>
    </row>
    <row r="1984" spans="1:27">
      <c r="A1984" s="9"/>
      <c r="Z1984">
        <f>TRIM(A1984&amp;"")</f>
        <v/>
      </c>
      <c r="AA1984">
        <f>IF(Z1984="","",IF(MATCH(SUBSTITUTE(SUBSTITUTE(SUBSTITUTE(Z1984,"~","~~"),"*","~*"),"?","~?"),$Z$5:$Z$5004,0)=1980,MAX($AA$4:AA1983)+1,""))</f>
        <v/>
      </c>
    </row>
    <row r="1985" spans="1:27">
      <c r="A1985" s="9"/>
      <c r="Z1985">
        <f>TRIM(A1985&amp;"")</f>
        <v/>
      </c>
      <c r="AA1985">
        <f>IF(Z1985="","",IF(MATCH(SUBSTITUTE(SUBSTITUTE(SUBSTITUTE(Z1985,"~","~~"),"*","~*"),"?","~?"),$Z$5:$Z$5004,0)=1981,MAX($AA$4:AA1984)+1,""))</f>
        <v/>
      </c>
    </row>
    <row r="1986" spans="1:27">
      <c r="A1986" s="9"/>
      <c r="Z1986">
        <f>TRIM(A1986&amp;"")</f>
        <v/>
      </c>
      <c r="AA1986">
        <f>IF(Z1986="","",IF(MATCH(SUBSTITUTE(SUBSTITUTE(SUBSTITUTE(Z1986,"~","~~"),"*","~*"),"?","~?"),$Z$5:$Z$5004,0)=1982,MAX($AA$4:AA1985)+1,""))</f>
        <v/>
      </c>
    </row>
    <row r="1987" spans="1:27">
      <c r="A1987" s="9"/>
      <c r="Z1987">
        <f>TRIM(A1987&amp;"")</f>
        <v/>
      </c>
      <c r="AA1987">
        <f>IF(Z1987="","",IF(MATCH(SUBSTITUTE(SUBSTITUTE(SUBSTITUTE(Z1987,"~","~~"),"*","~*"),"?","~?"),$Z$5:$Z$5004,0)=1983,MAX($AA$4:AA1986)+1,""))</f>
        <v/>
      </c>
    </row>
    <row r="1988" spans="1:27">
      <c r="A1988" s="9"/>
      <c r="Z1988">
        <f>TRIM(A1988&amp;"")</f>
        <v/>
      </c>
      <c r="AA1988">
        <f>IF(Z1988="","",IF(MATCH(SUBSTITUTE(SUBSTITUTE(SUBSTITUTE(Z1988,"~","~~"),"*","~*"),"?","~?"),$Z$5:$Z$5004,0)=1984,MAX($AA$4:AA1987)+1,""))</f>
        <v/>
      </c>
    </row>
    <row r="1989" spans="1:27">
      <c r="A1989" s="9"/>
      <c r="Z1989">
        <f>TRIM(A1989&amp;"")</f>
        <v/>
      </c>
      <c r="AA1989">
        <f>IF(Z1989="","",IF(MATCH(SUBSTITUTE(SUBSTITUTE(SUBSTITUTE(Z1989,"~","~~"),"*","~*"),"?","~?"),$Z$5:$Z$5004,0)=1985,MAX($AA$4:AA1988)+1,""))</f>
        <v/>
      </c>
    </row>
    <row r="1990" spans="1:27">
      <c r="A1990" s="9"/>
      <c r="Z1990">
        <f>TRIM(A1990&amp;"")</f>
        <v/>
      </c>
      <c r="AA1990">
        <f>IF(Z1990="","",IF(MATCH(SUBSTITUTE(SUBSTITUTE(SUBSTITUTE(Z1990,"~","~~"),"*","~*"),"?","~?"),$Z$5:$Z$5004,0)=1986,MAX($AA$4:AA1989)+1,""))</f>
        <v/>
      </c>
    </row>
    <row r="1991" spans="1:27">
      <c r="A1991" s="9"/>
      <c r="Z1991">
        <f>TRIM(A1991&amp;"")</f>
        <v/>
      </c>
      <c r="AA1991">
        <f>IF(Z1991="","",IF(MATCH(SUBSTITUTE(SUBSTITUTE(SUBSTITUTE(Z1991,"~","~~"),"*","~*"),"?","~?"),$Z$5:$Z$5004,0)=1987,MAX($AA$4:AA1990)+1,""))</f>
        <v/>
      </c>
    </row>
    <row r="1992" spans="1:27">
      <c r="A1992" s="9"/>
      <c r="Z1992">
        <f>TRIM(A1992&amp;"")</f>
        <v/>
      </c>
      <c r="AA1992">
        <f>IF(Z1992="","",IF(MATCH(SUBSTITUTE(SUBSTITUTE(SUBSTITUTE(Z1992,"~","~~"),"*","~*"),"?","~?"),$Z$5:$Z$5004,0)=1988,MAX($AA$4:AA1991)+1,""))</f>
        <v/>
      </c>
    </row>
    <row r="1993" spans="1:27">
      <c r="A1993" s="9"/>
      <c r="Z1993">
        <f>TRIM(A1993&amp;"")</f>
        <v/>
      </c>
      <c r="AA1993">
        <f>IF(Z1993="","",IF(MATCH(SUBSTITUTE(SUBSTITUTE(SUBSTITUTE(Z1993,"~","~~"),"*","~*"),"?","~?"),$Z$5:$Z$5004,0)=1989,MAX($AA$4:AA1992)+1,""))</f>
        <v/>
      </c>
    </row>
    <row r="1994" spans="1:27">
      <c r="A1994" s="9"/>
      <c r="Z1994">
        <f>TRIM(A1994&amp;"")</f>
        <v/>
      </c>
      <c r="AA1994">
        <f>IF(Z1994="","",IF(MATCH(SUBSTITUTE(SUBSTITUTE(SUBSTITUTE(Z1994,"~","~~"),"*","~*"),"?","~?"),$Z$5:$Z$5004,0)=1990,MAX($AA$4:AA1993)+1,""))</f>
        <v/>
      </c>
    </row>
    <row r="1995" spans="1:27">
      <c r="A1995" s="9"/>
      <c r="Z1995">
        <f>TRIM(A1995&amp;"")</f>
        <v/>
      </c>
      <c r="AA1995">
        <f>IF(Z1995="","",IF(MATCH(SUBSTITUTE(SUBSTITUTE(SUBSTITUTE(Z1995,"~","~~"),"*","~*"),"?","~?"),$Z$5:$Z$5004,0)=1991,MAX($AA$4:AA1994)+1,""))</f>
        <v/>
      </c>
    </row>
    <row r="1996" spans="1:27">
      <c r="A1996" s="9"/>
      <c r="Z1996">
        <f>TRIM(A1996&amp;"")</f>
        <v/>
      </c>
      <c r="AA1996">
        <f>IF(Z1996="","",IF(MATCH(SUBSTITUTE(SUBSTITUTE(SUBSTITUTE(Z1996,"~","~~"),"*","~*"),"?","~?"),$Z$5:$Z$5004,0)=1992,MAX($AA$4:AA1995)+1,""))</f>
        <v/>
      </c>
    </row>
    <row r="1997" spans="1:27">
      <c r="A1997" s="9"/>
      <c r="Z1997">
        <f>TRIM(A1997&amp;"")</f>
        <v/>
      </c>
      <c r="AA1997">
        <f>IF(Z1997="","",IF(MATCH(SUBSTITUTE(SUBSTITUTE(SUBSTITUTE(Z1997,"~","~~"),"*","~*"),"?","~?"),$Z$5:$Z$5004,0)=1993,MAX($AA$4:AA1996)+1,""))</f>
        <v/>
      </c>
    </row>
    <row r="1998" spans="1:27">
      <c r="A1998" s="9"/>
      <c r="Z1998">
        <f>TRIM(A1998&amp;"")</f>
        <v/>
      </c>
      <c r="AA1998">
        <f>IF(Z1998="","",IF(MATCH(SUBSTITUTE(SUBSTITUTE(SUBSTITUTE(Z1998,"~","~~"),"*","~*"),"?","~?"),$Z$5:$Z$5004,0)=1994,MAX($AA$4:AA1997)+1,""))</f>
        <v/>
      </c>
    </row>
    <row r="1999" spans="1:27">
      <c r="A1999" s="9"/>
      <c r="Z1999">
        <f>TRIM(A1999&amp;"")</f>
        <v/>
      </c>
      <c r="AA1999">
        <f>IF(Z1999="","",IF(MATCH(SUBSTITUTE(SUBSTITUTE(SUBSTITUTE(Z1999,"~","~~"),"*","~*"),"?","~?"),$Z$5:$Z$5004,0)=1995,MAX($AA$4:AA1998)+1,""))</f>
        <v/>
      </c>
    </row>
    <row r="2000" spans="1:27">
      <c r="A2000" s="9"/>
      <c r="Z2000">
        <f>TRIM(A2000&amp;"")</f>
        <v/>
      </c>
      <c r="AA2000">
        <f>IF(Z2000="","",IF(MATCH(SUBSTITUTE(SUBSTITUTE(SUBSTITUTE(Z2000,"~","~~"),"*","~*"),"?","~?"),$Z$5:$Z$5004,0)=1996,MAX($AA$4:AA1999)+1,""))</f>
        <v/>
      </c>
    </row>
    <row r="2001" spans="1:27">
      <c r="A2001" s="9"/>
      <c r="Z2001">
        <f>TRIM(A2001&amp;"")</f>
        <v/>
      </c>
      <c r="AA2001">
        <f>IF(Z2001="","",IF(MATCH(SUBSTITUTE(SUBSTITUTE(SUBSTITUTE(Z2001,"~","~~"),"*","~*"),"?","~?"),$Z$5:$Z$5004,0)=1997,MAX($AA$4:AA2000)+1,""))</f>
        <v/>
      </c>
    </row>
    <row r="2002" spans="1:27">
      <c r="A2002" s="9"/>
      <c r="Z2002">
        <f>TRIM(A2002&amp;"")</f>
        <v/>
      </c>
      <c r="AA2002">
        <f>IF(Z2002="","",IF(MATCH(SUBSTITUTE(SUBSTITUTE(SUBSTITUTE(Z2002,"~","~~"),"*","~*"),"?","~?"),$Z$5:$Z$5004,0)=1998,MAX($AA$4:AA2001)+1,""))</f>
        <v/>
      </c>
    </row>
    <row r="2003" spans="1:27">
      <c r="A2003" s="9"/>
      <c r="Z2003">
        <f>TRIM(A2003&amp;"")</f>
        <v/>
      </c>
      <c r="AA2003">
        <f>IF(Z2003="","",IF(MATCH(SUBSTITUTE(SUBSTITUTE(SUBSTITUTE(Z2003,"~","~~"),"*","~*"),"?","~?"),$Z$5:$Z$5004,0)=1999,MAX($AA$4:AA2002)+1,""))</f>
        <v/>
      </c>
    </row>
    <row r="2004" spans="1:27">
      <c r="A2004" s="9"/>
      <c r="Z2004">
        <f>TRIM(A2004&amp;"")</f>
        <v/>
      </c>
      <c r="AA2004">
        <f>IF(Z2004="","",IF(MATCH(SUBSTITUTE(SUBSTITUTE(SUBSTITUTE(Z2004,"~","~~"),"*","~*"),"?","~?"),$Z$5:$Z$5004,0)=2000,MAX($AA$4:AA2003)+1,""))</f>
        <v/>
      </c>
    </row>
    <row r="2005" spans="1:27">
      <c r="A2005" s="9"/>
      <c r="Z2005">
        <f>TRIM(A2005&amp;"")</f>
        <v/>
      </c>
      <c r="AA2005">
        <f>IF(Z2005="","",IF(MATCH(SUBSTITUTE(SUBSTITUTE(SUBSTITUTE(Z2005,"~","~~"),"*","~*"),"?","~?"),$Z$5:$Z$5004,0)=2001,MAX($AA$4:AA2004)+1,""))</f>
        <v/>
      </c>
    </row>
    <row r="2006" spans="1:27">
      <c r="A2006" s="9"/>
      <c r="Z2006">
        <f>TRIM(A2006&amp;"")</f>
        <v/>
      </c>
      <c r="AA2006">
        <f>IF(Z2006="","",IF(MATCH(SUBSTITUTE(SUBSTITUTE(SUBSTITUTE(Z2006,"~","~~"),"*","~*"),"?","~?"),$Z$5:$Z$5004,0)=2002,MAX($AA$4:AA2005)+1,""))</f>
        <v/>
      </c>
    </row>
    <row r="2007" spans="1:27">
      <c r="A2007" s="9"/>
      <c r="Z2007">
        <f>TRIM(A2007&amp;"")</f>
        <v/>
      </c>
      <c r="AA2007">
        <f>IF(Z2007="","",IF(MATCH(SUBSTITUTE(SUBSTITUTE(SUBSTITUTE(Z2007,"~","~~"),"*","~*"),"?","~?"),$Z$5:$Z$5004,0)=2003,MAX($AA$4:AA2006)+1,""))</f>
        <v/>
      </c>
    </row>
    <row r="2008" spans="1:27">
      <c r="A2008" s="9"/>
      <c r="Z2008">
        <f>TRIM(A2008&amp;"")</f>
        <v/>
      </c>
      <c r="AA2008">
        <f>IF(Z2008="","",IF(MATCH(SUBSTITUTE(SUBSTITUTE(SUBSTITUTE(Z2008,"~","~~"),"*","~*"),"?","~?"),$Z$5:$Z$5004,0)=2004,MAX($AA$4:AA2007)+1,""))</f>
        <v/>
      </c>
    </row>
    <row r="2009" spans="1:27">
      <c r="A2009" s="9"/>
      <c r="Z2009">
        <f>TRIM(A2009&amp;"")</f>
        <v/>
      </c>
      <c r="AA2009">
        <f>IF(Z2009="","",IF(MATCH(SUBSTITUTE(SUBSTITUTE(SUBSTITUTE(Z2009,"~","~~"),"*","~*"),"?","~?"),$Z$5:$Z$5004,0)=2005,MAX($AA$4:AA2008)+1,""))</f>
        <v/>
      </c>
    </row>
    <row r="2010" spans="1:27">
      <c r="A2010" s="9"/>
      <c r="Z2010">
        <f>TRIM(A2010&amp;"")</f>
        <v/>
      </c>
      <c r="AA2010">
        <f>IF(Z2010="","",IF(MATCH(SUBSTITUTE(SUBSTITUTE(SUBSTITUTE(Z2010,"~","~~"),"*","~*"),"?","~?"),$Z$5:$Z$5004,0)=2006,MAX($AA$4:AA2009)+1,""))</f>
        <v/>
      </c>
    </row>
    <row r="2011" spans="1:27">
      <c r="A2011" s="9"/>
      <c r="Z2011">
        <f>TRIM(A2011&amp;"")</f>
        <v/>
      </c>
      <c r="AA2011">
        <f>IF(Z2011="","",IF(MATCH(SUBSTITUTE(SUBSTITUTE(SUBSTITUTE(Z2011,"~","~~"),"*","~*"),"?","~?"),$Z$5:$Z$5004,0)=2007,MAX($AA$4:AA2010)+1,""))</f>
        <v/>
      </c>
    </row>
    <row r="2012" spans="1:27">
      <c r="A2012" s="9"/>
      <c r="Z2012">
        <f>TRIM(A2012&amp;"")</f>
        <v/>
      </c>
      <c r="AA2012">
        <f>IF(Z2012="","",IF(MATCH(SUBSTITUTE(SUBSTITUTE(SUBSTITUTE(Z2012,"~","~~"),"*","~*"),"?","~?"),$Z$5:$Z$5004,0)=2008,MAX($AA$4:AA2011)+1,""))</f>
        <v/>
      </c>
    </row>
    <row r="2013" spans="1:27">
      <c r="A2013" s="9"/>
      <c r="Z2013">
        <f>TRIM(A2013&amp;"")</f>
        <v/>
      </c>
      <c r="AA2013">
        <f>IF(Z2013="","",IF(MATCH(SUBSTITUTE(SUBSTITUTE(SUBSTITUTE(Z2013,"~","~~"),"*","~*"),"?","~?"),$Z$5:$Z$5004,0)=2009,MAX($AA$4:AA2012)+1,""))</f>
        <v/>
      </c>
    </row>
    <row r="2014" spans="1:27">
      <c r="A2014" s="9"/>
      <c r="Z2014">
        <f>TRIM(A2014&amp;"")</f>
        <v/>
      </c>
      <c r="AA2014">
        <f>IF(Z2014="","",IF(MATCH(SUBSTITUTE(SUBSTITUTE(SUBSTITUTE(Z2014,"~","~~"),"*","~*"),"?","~?"),$Z$5:$Z$5004,0)=2010,MAX($AA$4:AA2013)+1,""))</f>
        <v/>
      </c>
    </row>
    <row r="2015" spans="1:27">
      <c r="A2015" s="9"/>
      <c r="Z2015">
        <f>TRIM(A2015&amp;"")</f>
        <v/>
      </c>
      <c r="AA2015">
        <f>IF(Z2015="","",IF(MATCH(SUBSTITUTE(SUBSTITUTE(SUBSTITUTE(Z2015,"~","~~"),"*","~*"),"?","~?"),$Z$5:$Z$5004,0)=2011,MAX($AA$4:AA2014)+1,""))</f>
        <v/>
      </c>
    </row>
    <row r="2016" spans="1:27">
      <c r="A2016" s="9"/>
      <c r="Z2016">
        <f>TRIM(A2016&amp;"")</f>
        <v/>
      </c>
      <c r="AA2016">
        <f>IF(Z2016="","",IF(MATCH(SUBSTITUTE(SUBSTITUTE(SUBSTITUTE(Z2016,"~","~~"),"*","~*"),"?","~?"),$Z$5:$Z$5004,0)=2012,MAX($AA$4:AA2015)+1,""))</f>
        <v/>
      </c>
    </row>
    <row r="2017" spans="1:27">
      <c r="A2017" s="9"/>
      <c r="Z2017">
        <f>TRIM(A2017&amp;"")</f>
        <v/>
      </c>
      <c r="AA2017">
        <f>IF(Z2017="","",IF(MATCH(SUBSTITUTE(SUBSTITUTE(SUBSTITUTE(Z2017,"~","~~"),"*","~*"),"?","~?"),$Z$5:$Z$5004,0)=2013,MAX($AA$4:AA2016)+1,""))</f>
        <v/>
      </c>
    </row>
    <row r="2018" spans="1:27">
      <c r="A2018" s="9"/>
      <c r="Z2018">
        <f>TRIM(A2018&amp;"")</f>
        <v/>
      </c>
      <c r="AA2018">
        <f>IF(Z2018="","",IF(MATCH(SUBSTITUTE(SUBSTITUTE(SUBSTITUTE(Z2018,"~","~~"),"*","~*"),"?","~?"),$Z$5:$Z$5004,0)=2014,MAX($AA$4:AA2017)+1,""))</f>
        <v/>
      </c>
    </row>
    <row r="2019" spans="1:27">
      <c r="A2019" s="9"/>
      <c r="Z2019">
        <f>TRIM(A2019&amp;"")</f>
        <v/>
      </c>
      <c r="AA2019">
        <f>IF(Z2019="","",IF(MATCH(SUBSTITUTE(SUBSTITUTE(SUBSTITUTE(Z2019,"~","~~"),"*","~*"),"?","~?"),$Z$5:$Z$5004,0)=2015,MAX($AA$4:AA2018)+1,""))</f>
        <v/>
      </c>
    </row>
    <row r="2020" spans="1:27">
      <c r="A2020" s="9"/>
      <c r="Z2020">
        <f>TRIM(A2020&amp;"")</f>
        <v/>
      </c>
      <c r="AA2020">
        <f>IF(Z2020="","",IF(MATCH(SUBSTITUTE(SUBSTITUTE(SUBSTITUTE(Z2020,"~","~~"),"*","~*"),"?","~?"),$Z$5:$Z$5004,0)=2016,MAX($AA$4:AA2019)+1,""))</f>
        <v/>
      </c>
    </row>
    <row r="2021" spans="1:27">
      <c r="A2021" s="9"/>
      <c r="Z2021">
        <f>TRIM(A2021&amp;"")</f>
        <v/>
      </c>
      <c r="AA2021">
        <f>IF(Z2021="","",IF(MATCH(SUBSTITUTE(SUBSTITUTE(SUBSTITUTE(Z2021,"~","~~"),"*","~*"),"?","~?"),$Z$5:$Z$5004,0)=2017,MAX($AA$4:AA2020)+1,""))</f>
        <v/>
      </c>
    </row>
    <row r="2022" spans="1:27">
      <c r="A2022" s="9"/>
      <c r="Z2022">
        <f>TRIM(A2022&amp;"")</f>
        <v/>
      </c>
      <c r="AA2022">
        <f>IF(Z2022="","",IF(MATCH(SUBSTITUTE(SUBSTITUTE(SUBSTITUTE(Z2022,"~","~~"),"*","~*"),"?","~?"),$Z$5:$Z$5004,0)=2018,MAX($AA$4:AA2021)+1,""))</f>
        <v/>
      </c>
    </row>
    <row r="2023" spans="1:27">
      <c r="A2023" s="9"/>
      <c r="Z2023">
        <f>TRIM(A2023&amp;"")</f>
        <v/>
      </c>
      <c r="AA2023">
        <f>IF(Z2023="","",IF(MATCH(SUBSTITUTE(SUBSTITUTE(SUBSTITUTE(Z2023,"~","~~"),"*","~*"),"?","~?"),$Z$5:$Z$5004,0)=2019,MAX($AA$4:AA2022)+1,""))</f>
        <v/>
      </c>
    </row>
    <row r="2024" spans="1:27">
      <c r="A2024" s="9"/>
      <c r="Z2024">
        <f>TRIM(A2024&amp;"")</f>
        <v/>
      </c>
      <c r="AA2024">
        <f>IF(Z2024="","",IF(MATCH(SUBSTITUTE(SUBSTITUTE(SUBSTITUTE(Z2024,"~","~~"),"*","~*"),"?","~?"),$Z$5:$Z$5004,0)=2020,MAX($AA$4:AA2023)+1,""))</f>
        <v/>
      </c>
    </row>
    <row r="2025" spans="1:27">
      <c r="A2025" s="9"/>
      <c r="Z2025">
        <f>TRIM(A2025&amp;"")</f>
        <v/>
      </c>
      <c r="AA2025">
        <f>IF(Z2025="","",IF(MATCH(SUBSTITUTE(SUBSTITUTE(SUBSTITUTE(Z2025,"~","~~"),"*","~*"),"?","~?"),$Z$5:$Z$5004,0)=2021,MAX($AA$4:AA2024)+1,""))</f>
        <v/>
      </c>
    </row>
    <row r="2026" spans="1:27">
      <c r="A2026" s="9"/>
      <c r="Z2026">
        <f>TRIM(A2026&amp;"")</f>
        <v/>
      </c>
      <c r="AA2026">
        <f>IF(Z2026="","",IF(MATCH(SUBSTITUTE(SUBSTITUTE(SUBSTITUTE(Z2026,"~","~~"),"*","~*"),"?","~?"),$Z$5:$Z$5004,0)=2022,MAX($AA$4:AA2025)+1,""))</f>
        <v/>
      </c>
    </row>
    <row r="2027" spans="1:27">
      <c r="A2027" s="9"/>
      <c r="Z2027">
        <f>TRIM(A2027&amp;"")</f>
        <v/>
      </c>
      <c r="AA2027">
        <f>IF(Z2027="","",IF(MATCH(SUBSTITUTE(SUBSTITUTE(SUBSTITUTE(Z2027,"~","~~"),"*","~*"),"?","~?"),$Z$5:$Z$5004,0)=2023,MAX($AA$4:AA2026)+1,""))</f>
        <v/>
      </c>
    </row>
    <row r="2028" spans="1:27">
      <c r="A2028" s="9"/>
      <c r="Z2028">
        <f>TRIM(A2028&amp;"")</f>
        <v/>
      </c>
      <c r="AA2028">
        <f>IF(Z2028="","",IF(MATCH(SUBSTITUTE(SUBSTITUTE(SUBSTITUTE(Z2028,"~","~~"),"*","~*"),"?","~?"),$Z$5:$Z$5004,0)=2024,MAX($AA$4:AA2027)+1,""))</f>
        <v/>
      </c>
    </row>
    <row r="2029" spans="1:27">
      <c r="A2029" s="9"/>
      <c r="Z2029">
        <f>TRIM(A2029&amp;"")</f>
        <v/>
      </c>
      <c r="AA2029">
        <f>IF(Z2029="","",IF(MATCH(SUBSTITUTE(SUBSTITUTE(SUBSTITUTE(Z2029,"~","~~"),"*","~*"),"?","~?"),$Z$5:$Z$5004,0)=2025,MAX($AA$4:AA2028)+1,""))</f>
        <v/>
      </c>
    </row>
    <row r="2030" spans="1:27">
      <c r="A2030" s="9"/>
      <c r="Z2030">
        <f>TRIM(A2030&amp;"")</f>
        <v/>
      </c>
      <c r="AA2030">
        <f>IF(Z2030="","",IF(MATCH(SUBSTITUTE(SUBSTITUTE(SUBSTITUTE(Z2030,"~","~~"),"*","~*"),"?","~?"),$Z$5:$Z$5004,0)=2026,MAX($AA$4:AA2029)+1,""))</f>
        <v/>
      </c>
    </row>
    <row r="2031" spans="1:27">
      <c r="A2031" s="9"/>
      <c r="Z2031">
        <f>TRIM(A2031&amp;"")</f>
        <v/>
      </c>
      <c r="AA2031">
        <f>IF(Z2031="","",IF(MATCH(SUBSTITUTE(SUBSTITUTE(SUBSTITUTE(Z2031,"~","~~"),"*","~*"),"?","~?"),$Z$5:$Z$5004,0)=2027,MAX($AA$4:AA2030)+1,""))</f>
        <v/>
      </c>
    </row>
    <row r="2032" spans="1:27">
      <c r="A2032" s="9"/>
      <c r="Z2032">
        <f>TRIM(A2032&amp;"")</f>
        <v/>
      </c>
      <c r="AA2032">
        <f>IF(Z2032="","",IF(MATCH(SUBSTITUTE(SUBSTITUTE(SUBSTITUTE(Z2032,"~","~~"),"*","~*"),"?","~?"),$Z$5:$Z$5004,0)=2028,MAX($AA$4:AA2031)+1,""))</f>
        <v/>
      </c>
    </row>
    <row r="2033" spans="1:27">
      <c r="A2033" s="9"/>
      <c r="Z2033">
        <f>TRIM(A2033&amp;"")</f>
        <v/>
      </c>
      <c r="AA2033">
        <f>IF(Z2033="","",IF(MATCH(SUBSTITUTE(SUBSTITUTE(SUBSTITUTE(Z2033,"~","~~"),"*","~*"),"?","~?"),$Z$5:$Z$5004,0)=2029,MAX($AA$4:AA2032)+1,""))</f>
        <v/>
      </c>
    </row>
    <row r="2034" spans="1:27">
      <c r="A2034" s="9"/>
      <c r="Z2034">
        <f>TRIM(A2034&amp;"")</f>
        <v/>
      </c>
      <c r="AA2034">
        <f>IF(Z2034="","",IF(MATCH(SUBSTITUTE(SUBSTITUTE(SUBSTITUTE(Z2034,"~","~~"),"*","~*"),"?","~?"),$Z$5:$Z$5004,0)=2030,MAX($AA$4:AA2033)+1,""))</f>
        <v/>
      </c>
    </row>
    <row r="2035" spans="1:27">
      <c r="A2035" s="9"/>
      <c r="Z2035">
        <f>TRIM(A2035&amp;"")</f>
        <v/>
      </c>
      <c r="AA2035">
        <f>IF(Z2035="","",IF(MATCH(SUBSTITUTE(SUBSTITUTE(SUBSTITUTE(Z2035,"~","~~"),"*","~*"),"?","~?"),$Z$5:$Z$5004,0)=2031,MAX($AA$4:AA2034)+1,""))</f>
        <v/>
      </c>
    </row>
    <row r="2036" spans="1:27">
      <c r="A2036" s="9"/>
      <c r="Z2036">
        <f>TRIM(A2036&amp;"")</f>
        <v/>
      </c>
      <c r="AA2036">
        <f>IF(Z2036="","",IF(MATCH(SUBSTITUTE(SUBSTITUTE(SUBSTITUTE(Z2036,"~","~~"),"*","~*"),"?","~?"),$Z$5:$Z$5004,0)=2032,MAX($AA$4:AA2035)+1,""))</f>
        <v/>
      </c>
    </row>
    <row r="2037" spans="1:27">
      <c r="A2037" s="9"/>
      <c r="Z2037">
        <f>TRIM(A2037&amp;"")</f>
        <v/>
      </c>
      <c r="AA2037">
        <f>IF(Z2037="","",IF(MATCH(SUBSTITUTE(SUBSTITUTE(SUBSTITUTE(Z2037,"~","~~"),"*","~*"),"?","~?"),$Z$5:$Z$5004,0)=2033,MAX($AA$4:AA2036)+1,""))</f>
        <v/>
      </c>
    </row>
    <row r="2038" spans="1:27">
      <c r="A2038" s="9"/>
      <c r="Z2038">
        <f>TRIM(A2038&amp;"")</f>
        <v/>
      </c>
      <c r="AA2038">
        <f>IF(Z2038="","",IF(MATCH(SUBSTITUTE(SUBSTITUTE(SUBSTITUTE(Z2038,"~","~~"),"*","~*"),"?","~?"),$Z$5:$Z$5004,0)=2034,MAX($AA$4:AA2037)+1,""))</f>
        <v/>
      </c>
    </row>
    <row r="2039" spans="1:27">
      <c r="A2039" s="9"/>
      <c r="Z2039">
        <f>TRIM(A2039&amp;"")</f>
        <v/>
      </c>
      <c r="AA2039">
        <f>IF(Z2039="","",IF(MATCH(SUBSTITUTE(SUBSTITUTE(SUBSTITUTE(Z2039,"~","~~"),"*","~*"),"?","~?"),$Z$5:$Z$5004,0)=2035,MAX($AA$4:AA2038)+1,""))</f>
        <v/>
      </c>
    </row>
    <row r="2040" spans="1:27">
      <c r="A2040" s="9"/>
      <c r="Z2040">
        <f>TRIM(A2040&amp;"")</f>
        <v/>
      </c>
      <c r="AA2040">
        <f>IF(Z2040="","",IF(MATCH(SUBSTITUTE(SUBSTITUTE(SUBSTITUTE(Z2040,"~","~~"),"*","~*"),"?","~?"),$Z$5:$Z$5004,0)=2036,MAX($AA$4:AA2039)+1,""))</f>
        <v/>
      </c>
    </row>
    <row r="2041" spans="1:27">
      <c r="A2041" s="9"/>
      <c r="Z2041">
        <f>TRIM(A2041&amp;"")</f>
        <v/>
      </c>
      <c r="AA2041">
        <f>IF(Z2041="","",IF(MATCH(SUBSTITUTE(SUBSTITUTE(SUBSTITUTE(Z2041,"~","~~"),"*","~*"),"?","~?"),$Z$5:$Z$5004,0)=2037,MAX($AA$4:AA2040)+1,""))</f>
        <v/>
      </c>
    </row>
    <row r="2042" spans="1:27">
      <c r="A2042" s="9"/>
      <c r="Z2042">
        <f>TRIM(A2042&amp;"")</f>
        <v/>
      </c>
      <c r="AA2042">
        <f>IF(Z2042="","",IF(MATCH(SUBSTITUTE(SUBSTITUTE(SUBSTITUTE(Z2042,"~","~~"),"*","~*"),"?","~?"),$Z$5:$Z$5004,0)=2038,MAX($AA$4:AA2041)+1,""))</f>
        <v/>
      </c>
    </row>
    <row r="2043" spans="1:27">
      <c r="A2043" s="9"/>
      <c r="Z2043">
        <f>TRIM(A2043&amp;"")</f>
        <v/>
      </c>
      <c r="AA2043">
        <f>IF(Z2043="","",IF(MATCH(SUBSTITUTE(SUBSTITUTE(SUBSTITUTE(Z2043,"~","~~"),"*","~*"),"?","~?"),$Z$5:$Z$5004,0)=2039,MAX($AA$4:AA2042)+1,""))</f>
        <v/>
      </c>
    </row>
    <row r="2044" spans="1:27">
      <c r="A2044" s="9"/>
      <c r="Z2044">
        <f>TRIM(A2044&amp;"")</f>
        <v/>
      </c>
      <c r="AA2044">
        <f>IF(Z2044="","",IF(MATCH(SUBSTITUTE(SUBSTITUTE(SUBSTITUTE(Z2044,"~","~~"),"*","~*"),"?","~?"),$Z$5:$Z$5004,0)=2040,MAX($AA$4:AA2043)+1,""))</f>
        <v/>
      </c>
    </row>
    <row r="2045" spans="1:27">
      <c r="A2045" s="9"/>
      <c r="Z2045">
        <f>TRIM(A2045&amp;"")</f>
        <v/>
      </c>
      <c r="AA2045">
        <f>IF(Z2045="","",IF(MATCH(SUBSTITUTE(SUBSTITUTE(SUBSTITUTE(Z2045,"~","~~"),"*","~*"),"?","~?"),$Z$5:$Z$5004,0)=2041,MAX($AA$4:AA2044)+1,""))</f>
        <v/>
      </c>
    </row>
    <row r="2046" spans="1:27">
      <c r="A2046" s="9"/>
      <c r="Z2046">
        <f>TRIM(A2046&amp;"")</f>
        <v/>
      </c>
      <c r="AA2046">
        <f>IF(Z2046="","",IF(MATCH(SUBSTITUTE(SUBSTITUTE(SUBSTITUTE(Z2046,"~","~~"),"*","~*"),"?","~?"),$Z$5:$Z$5004,0)=2042,MAX($AA$4:AA2045)+1,""))</f>
        <v/>
      </c>
    </row>
    <row r="2047" spans="1:27">
      <c r="A2047" s="9"/>
      <c r="Z2047">
        <f>TRIM(A2047&amp;"")</f>
        <v/>
      </c>
      <c r="AA2047">
        <f>IF(Z2047="","",IF(MATCH(SUBSTITUTE(SUBSTITUTE(SUBSTITUTE(Z2047,"~","~~"),"*","~*"),"?","~?"),$Z$5:$Z$5004,0)=2043,MAX($AA$4:AA2046)+1,""))</f>
        <v/>
      </c>
    </row>
    <row r="2048" spans="1:27">
      <c r="A2048" s="9"/>
      <c r="Z2048">
        <f>TRIM(A2048&amp;"")</f>
        <v/>
      </c>
      <c r="AA2048">
        <f>IF(Z2048="","",IF(MATCH(SUBSTITUTE(SUBSTITUTE(SUBSTITUTE(Z2048,"~","~~"),"*","~*"),"?","~?"),$Z$5:$Z$5004,0)=2044,MAX($AA$4:AA2047)+1,""))</f>
        <v/>
      </c>
    </row>
    <row r="2049" spans="1:27">
      <c r="A2049" s="9"/>
      <c r="Z2049">
        <f>TRIM(A2049&amp;"")</f>
        <v/>
      </c>
      <c r="AA2049">
        <f>IF(Z2049="","",IF(MATCH(SUBSTITUTE(SUBSTITUTE(SUBSTITUTE(Z2049,"~","~~"),"*","~*"),"?","~?"),$Z$5:$Z$5004,0)=2045,MAX($AA$4:AA2048)+1,""))</f>
        <v/>
      </c>
    </row>
    <row r="2050" spans="1:27">
      <c r="A2050" s="9"/>
      <c r="Z2050">
        <f>TRIM(A2050&amp;"")</f>
        <v/>
      </c>
      <c r="AA2050">
        <f>IF(Z2050="","",IF(MATCH(SUBSTITUTE(SUBSTITUTE(SUBSTITUTE(Z2050,"~","~~"),"*","~*"),"?","~?"),$Z$5:$Z$5004,0)=2046,MAX($AA$4:AA2049)+1,""))</f>
        <v/>
      </c>
    </row>
    <row r="2051" spans="1:27">
      <c r="A2051" s="9"/>
      <c r="Z2051">
        <f>TRIM(A2051&amp;"")</f>
        <v/>
      </c>
      <c r="AA2051">
        <f>IF(Z2051="","",IF(MATCH(SUBSTITUTE(SUBSTITUTE(SUBSTITUTE(Z2051,"~","~~"),"*","~*"),"?","~?"),$Z$5:$Z$5004,0)=2047,MAX($AA$4:AA2050)+1,""))</f>
        <v/>
      </c>
    </row>
    <row r="2052" spans="1:27">
      <c r="A2052" s="9"/>
      <c r="Z2052">
        <f>TRIM(A2052&amp;"")</f>
        <v/>
      </c>
      <c r="AA2052">
        <f>IF(Z2052="","",IF(MATCH(SUBSTITUTE(SUBSTITUTE(SUBSTITUTE(Z2052,"~","~~"),"*","~*"),"?","~?"),$Z$5:$Z$5004,0)=2048,MAX($AA$4:AA2051)+1,""))</f>
        <v/>
      </c>
    </row>
    <row r="2053" spans="1:27">
      <c r="A2053" s="9"/>
      <c r="Z2053">
        <f>TRIM(A2053&amp;"")</f>
        <v/>
      </c>
      <c r="AA2053">
        <f>IF(Z2053="","",IF(MATCH(SUBSTITUTE(SUBSTITUTE(SUBSTITUTE(Z2053,"~","~~"),"*","~*"),"?","~?"),$Z$5:$Z$5004,0)=2049,MAX($AA$4:AA2052)+1,""))</f>
        <v/>
      </c>
    </row>
    <row r="2054" spans="1:27">
      <c r="A2054" s="9"/>
      <c r="Z2054">
        <f>TRIM(A2054&amp;"")</f>
        <v/>
      </c>
      <c r="AA2054">
        <f>IF(Z2054="","",IF(MATCH(SUBSTITUTE(SUBSTITUTE(SUBSTITUTE(Z2054,"~","~~"),"*","~*"),"?","~?"),$Z$5:$Z$5004,0)=2050,MAX($AA$4:AA2053)+1,""))</f>
        <v/>
      </c>
    </row>
    <row r="2055" spans="1:27">
      <c r="A2055" s="9"/>
      <c r="Z2055">
        <f>TRIM(A2055&amp;"")</f>
        <v/>
      </c>
      <c r="AA2055">
        <f>IF(Z2055="","",IF(MATCH(SUBSTITUTE(SUBSTITUTE(SUBSTITUTE(Z2055,"~","~~"),"*","~*"),"?","~?"),$Z$5:$Z$5004,0)=2051,MAX($AA$4:AA2054)+1,""))</f>
        <v/>
      </c>
    </row>
    <row r="2056" spans="1:27">
      <c r="A2056" s="9"/>
      <c r="Z2056">
        <f>TRIM(A2056&amp;"")</f>
        <v/>
      </c>
      <c r="AA2056">
        <f>IF(Z2056="","",IF(MATCH(SUBSTITUTE(SUBSTITUTE(SUBSTITUTE(Z2056,"~","~~"),"*","~*"),"?","~?"),$Z$5:$Z$5004,0)=2052,MAX($AA$4:AA2055)+1,""))</f>
        <v/>
      </c>
    </row>
    <row r="2057" spans="1:27">
      <c r="A2057" s="9"/>
      <c r="Z2057">
        <f>TRIM(A2057&amp;"")</f>
        <v/>
      </c>
      <c r="AA2057">
        <f>IF(Z2057="","",IF(MATCH(SUBSTITUTE(SUBSTITUTE(SUBSTITUTE(Z2057,"~","~~"),"*","~*"),"?","~?"),$Z$5:$Z$5004,0)=2053,MAX($AA$4:AA2056)+1,""))</f>
        <v/>
      </c>
    </row>
    <row r="2058" spans="1:27">
      <c r="A2058" s="9"/>
      <c r="Z2058">
        <f>TRIM(A2058&amp;"")</f>
        <v/>
      </c>
      <c r="AA2058">
        <f>IF(Z2058="","",IF(MATCH(SUBSTITUTE(SUBSTITUTE(SUBSTITUTE(Z2058,"~","~~"),"*","~*"),"?","~?"),$Z$5:$Z$5004,0)=2054,MAX($AA$4:AA2057)+1,""))</f>
        <v/>
      </c>
    </row>
    <row r="2059" spans="1:27">
      <c r="A2059" s="9"/>
      <c r="Z2059">
        <f>TRIM(A2059&amp;"")</f>
        <v/>
      </c>
      <c r="AA2059">
        <f>IF(Z2059="","",IF(MATCH(SUBSTITUTE(SUBSTITUTE(SUBSTITUTE(Z2059,"~","~~"),"*","~*"),"?","~?"),$Z$5:$Z$5004,0)=2055,MAX($AA$4:AA2058)+1,""))</f>
        <v/>
      </c>
    </row>
    <row r="2060" spans="1:27">
      <c r="A2060" s="9"/>
      <c r="Z2060">
        <f>TRIM(A2060&amp;"")</f>
        <v/>
      </c>
      <c r="AA2060">
        <f>IF(Z2060="","",IF(MATCH(SUBSTITUTE(SUBSTITUTE(SUBSTITUTE(Z2060,"~","~~"),"*","~*"),"?","~?"),$Z$5:$Z$5004,0)=2056,MAX($AA$4:AA2059)+1,""))</f>
        <v/>
      </c>
    </row>
    <row r="2061" spans="1:27">
      <c r="A2061" s="9"/>
      <c r="Z2061">
        <f>TRIM(A2061&amp;"")</f>
        <v/>
      </c>
      <c r="AA2061">
        <f>IF(Z2061="","",IF(MATCH(SUBSTITUTE(SUBSTITUTE(SUBSTITUTE(Z2061,"~","~~"),"*","~*"),"?","~?"),$Z$5:$Z$5004,0)=2057,MAX($AA$4:AA2060)+1,""))</f>
        <v/>
      </c>
    </row>
    <row r="2062" spans="1:27">
      <c r="A2062" s="9"/>
      <c r="Z2062">
        <f>TRIM(A2062&amp;"")</f>
        <v/>
      </c>
      <c r="AA2062">
        <f>IF(Z2062="","",IF(MATCH(SUBSTITUTE(SUBSTITUTE(SUBSTITUTE(Z2062,"~","~~"),"*","~*"),"?","~?"),$Z$5:$Z$5004,0)=2058,MAX($AA$4:AA2061)+1,""))</f>
        <v/>
      </c>
    </row>
    <row r="2063" spans="1:27">
      <c r="A2063" s="9"/>
      <c r="Z2063">
        <f>TRIM(A2063&amp;"")</f>
        <v/>
      </c>
      <c r="AA2063">
        <f>IF(Z2063="","",IF(MATCH(SUBSTITUTE(SUBSTITUTE(SUBSTITUTE(Z2063,"~","~~"),"*","~*"),"?","~?"),$Z$5:$Z$5004,0)=2059,MAX($AA$4:AA2062)+1,""))</f>
        <v/>
      </c>
    </row>
    <row r="2064" spans="1:27">
      <c r="A2064" s="9"/>
      <c r="Z2064">
        <f>TRIM(A2064&amp;"")</f>
        <v/>
      </c>
      <c r="AA2064">
        <f>IF(Z2064="","",IF(MATCH(SUBSTITUTE(SUBSTITUTE(SUBSTITUTE(Z2064,"~","~~"),"*","~*"),"?","~?"),$Z$5:$Z$5004,0)=2060,MAX($AA$4:AA2063)+1,""))</f>
        <v/>
      </c>
    </row>
    <row r="2065" spans="1:27">
      <c r="A2065" s="9"/>
      <c r="Z2065">
        <f>TRIM(A2065&amp;"")</f>
        <v/>
      </c>
      <c r="AA2065">
        <f>IF(Z2065="","",IF(MATCH(SUBSTITUTE(SUBSTITUTE(SUBSTITUTE(Z2065,"~","~~"),"*","~*"),"?","~?"),$Z$5:$Z$5004,0)=2061,MAX($AA$4:AA2064)+1,""))</f>
        <v/>
      </c>
    </row>
    <row r="2066" spans="1:27">
      <c r="A2066" s="9"/>
      <c r="Z2066">
        <f>TRIM(A2066&amp;"")</f>
        <v/>
      </c>
      <c r="AA2066">
        <f>IF(Z2066="","",IF(MATCH(SUBSTITUTE(SUBSTITUTE(SUBSTITUTE(Z2066,"~","~~"),"*","~*"),"?","~?"),$Z$5:$Z$5004,0)=2062,MAX($AA$4:AA2065)+1,""))</f>
        <v/>
      </c>
    </row>
    <row r="2067" spans="1:27">
      <c r="A2067" s="9"/>
      <c r="Z2067">
        <f>TRIM(A2067&amp;"")</f>
        <v/>
      </c>
      <c r="AA2067">
        <f>IF(Z2067="","",IF(MATCH(SUBSTITUTE(SUBSTITUTE(SUBSTITUTE(Z2067,"~","~~"),"*","~*"),"?","~?"),$Z$5:$Z$5004,0)=2063,MAX($AA$4:AA2066)+1,""))</f>
        <v/>
      </c>
    </row>
    <row r="2068" spans="1:27">
      <c r="A2068" s="9"/>
      <c r="Z2068">
        <f>TRIM(A2068&amp;"")</f>
        <v/>
      </c>
      <c r="AA2068">
        <f>IF(Z2068="","",IF(MATCH(SUBSTITUTE(SUBSTITUTE(SUBSTITUTE(Z2068,"~","~~"),"*","~*"),"?","~?"),$Z$5:$Z$5004,0)=2064,MAX($AA$4:AA2067)+1,""))</f>
        <v/>
      </c>
    </row>
    <row r="2069" spans="1:27">
      <c r="A2069" s="9"/>
      <c r="Z2069">
        <f>TRIM(A2069&amp;"")</f>
        <v/>
      </c>
      <c r="AA2069">
        <f>IF(Z2069="","",IF(MATCH(SUBSTITUTE(SUBSTITUTE(SUBSTITUTE(Z2069,"~","~~"),"*","~*"),"?","~?"),$Z$5:$Z$5004,0)=2065,MAX($AA$4:AA2068)+1,""))</f>
        <v/>
      </c>
    </row>
    <row r="2070" spans="1:27">
      <c r="A2070" s="9"/>
      <c r="Z2070">
        <f>TRIM(A2070&amp;"")</f>
        <v/>
      </c>
      <c r="AA2070">
        <f>IF(Z2070="","",IF(MATCH(SUBSTITUTE(SUBSTITUTE(SUBSTITUTE(Z2070,"~","~~"),"*","~*"),"?","~?"),$Z$5:$Z$5004,0)=2066,MAX($AA$4:AA2069)+1,""))</f>
        <v/>
      </c>
    </row>
    <row r="2071" spans="1:27">
      <c r="A2071" s="9"/>
      <c r="Z2071">
        <f>TRIM(A2071&amp;"")</f>
        <v/>
      </c>
      <c r="AA2071">
        <f>IF(Z2071="","",IF(MATCH(SUBSTITUTE(SUBSTITUTE(SUBSTITUTE(Z2071,"~","~~"),"*","~*"),"?","~?"),$Z$5:$Z$5004,0)=2067,MAX($AA$4:AA2070)+1,""))</f>
        <v/>
      </c>
    </row>
    <row r="2072" spans="1:27">
      <c r="A2072" s="9"/>
      <c r="Z2072">
        <f>TRIM(A2072&amp;"")</f>
        <v/>
      </c>
      <c r="AA2072">
        <f>IF(Z2072="","",IF(MATCH(SUBSTITUTE(SUBSTITUTE(SUBSTITUTE(Z2072,"~","~~"),"*","~*"),"?","~?"),$Z$5:$Z$5004,0)=2068,MAX($AA$4:AA2071)+1,""))</f>
        <v/>
      </c>
    </row>
    <row r="2073" spans="1:27">
      <c r="A2073" s="9"/>
      <c r="Z2073">
        <f>TRIM(A2073&amp;"")</f>
        <v/>
      </c>
      <c r="AA2073">
        <f>IF(Z2073="","",IF(MATCH(SUBSTITUTE(SUBSTITUTE(SUBSTITUTE(Z2073,"~","~~"),"*","~*"),"?","~?"),$Z$5:$Z$5004,0)=2069,MAX($AA$4:AA2072)+1,""))</f>
        <v/>
      </c>
    </row>
    <row r="2074" spans="1:27">
      <c r="A2074" s="9"/>
      <c r="Z2074">
        <f>TRIM(A2074&amp;"")</f>
        <v/>
      </c>
      <c r="AA2074">
        <f>IF(Z2074="","",IF(MATCH(SUBSTITUTE(SUBSTITUTE(SUBSTITUTE(Z2074,"~","~~"),"*","~*"),"?","~?"),$Z$5:$Z$5004,0)=2070,MAX($AA$4:AA2073)+1,""))</f>
        <v/>
      </c>
    </row>
    <row r="2075" spans="1:27">
      <c r="A2075" s="9"/>
      <c r="Z2075">
        <f>TRIM(A2075&amp;"")</f>
        <v/>
      </c>
      <c r="AA2075">
        <f>IF(Z2075="","",IF(MATCH(SUBSTITUTE(SUBSTITUTE(SUBSTITUTE(Z2075,"~","~~"),"*","~*"),"?","~?"),$Z$5:$Z$5004,0)=2071,MAX($AA$4:AA2074)+1,""))</f>
        <v/>
      </c>
    </row>
    <row r="2076" spans="1:27">
      <c r="A2076" s="9"/>
      <c r="Z2076">
        <f>TRIM(A2076&amp;"")</f>
        <v/>
      </c>
      <c r="AA2076">
        <f>IF(Z2076="","",IF(MATCH(SUBSTITUTE(SUBSTITUTE(SUBSTITUTE(Z2076,"~","~~"),"*","~*"),"?","~?"),$Z$5:$Z$5004,0)=2072,MAX($AA$4:AA2075)+1,""))</f>
        <v/>
      </c>
    </row>
    <row r="2077" spans="1:27">
      <c r="A2077" s="9"/>
      <c r="Z2077">
        <f>TRIM(A2077&amp;"")</f>
        <v/>
      </c>
      <c r="AA2077">
        <f>IF(Z2077="","",IF(MATCH(SUBSTITUTE(SUBSTITUTE(SUBSTITUTE(Z2077,"~","~~"),"*","~*"),"?","~?"),$Z$5:$Z$5004,0)=2073,MAX($AA$4:AA2076)+1,""))</f>
        <v/>
      </c>
    </row>
    <row r="2078" spans="1:27">
      <c r="A2078" s="9"/>
      <c r="Z2078">
        <f>TRIM(A2078&amp;"")</f>
        <v/>
      </c>
      <c r="AA2078">
        <f>IF(Z2078="","",IF(MATCH(SUBSTITUTE(SUBSTITUTE(SUBSTITUTE(Z2078,"~","~~"),"*","~*"),"?","~?"),$Z$5:$Z$5004,0)=2074,MAX($AA$4:AA2077)+1,""))</f>
        <v/>
      </c>
    </row>
    <row r="2079" spans="1:27">
      <c r="A2079" s="9"/>
      <c r="Z2079">
        <f>TRIM(A2079&amp;"")</f>
        <v/>
      </c>
      <c r="AA2079">
        <f>IF(Z2079="","",IF(MATCH(SUBSTITUTE(SUBSTITUTE(SUBSTITUTE(Z2079,"~","~~"),"*","~*"),"?","~?"),$Z$5:$Z$5004,0)=2075,MAX($AA$4:AA2078)+1,""))</f>
        <v/>
      </c>
    </row>
    <row r="2080" spans="1:27">
      <c r="A2080" s="9"/>
      <c r="Z2080">
        <f>TRIM(A2080&amp;"")</f>
        <v/>
      </c>
      <c r="AA2080">
        <f>IF(Z2080="","",IF(MATCH(SUBSTITUTE(SUBSTITUTE(SUBSTITUTE(Z2080,"~","~~"),"*","~*"),"?","~?"),$Z$5:$Z$5004,0)=2076,MAX($AA$4:AA2079)+1,""))</f>
        <v/>
      </c>
    </row>
    <row r="2081" spans="1:27">
      <c r="A2081" s="9"/>
      <c r="Z2081">
        <f>TRIM(A2081&amp;"")</f>
        <v/>
      </c>
      <c r="AA2081">
        <f>IF(Z2081="","",IF(MATCH(SUBSTITUTE(SUBSTITUTE(SUBSTITUTE(Z2081,"~","~~"),"*","~*"),"?","~?"),$Z$5:$Z$5004,0)=2077,MAX($AA$4:AA2080)+1,""))</f>
        <v/>
      </c>
    </row>
    <row r="2082" spans="1:27">
      <c r="A2082" s="9"/>
      <c r="Z2082">
        <f>TRIM(A2082&amp;"")</f>
        <v/>
      </c>
      <c r="AA2082">
        <f>IF(Z2082="","",IF(MATCH(SUBSTITUTE(SUBSTITUTE(SUBSTITUTE(Z2082,"~","~~"),"*","~*"),"?","~?"),$Z$5:$Z$5004,0)=2078,MAX($AA$4:AA2081)+1,""))</f>
        <v/>
      </c>
    </row>
    <row r="2083" spans="1:27">
      <c r="A2083" s="9"/>
      <c r="Z2083">
        <f>TRIM(A2083&amp;"")</f>
        <v/>
      </c>
      <c r="AA2083">
        <f>IF(Z2083="","",IF(MATCH(SUBSTITUTE(SUBSTITUTE(SUBSTITUTE(Z2083,"~","~~"),"*","~*"),"?","~?"),$Z$5:$Z$5004,0)=2079,MAX($AA$4:AA2082)+1,""))</f>
        <v/>
      </c>
    </row>
    <row r="2084" spans="1:27">
      <c r="A2084" s="9"/>
      <c r="Z2084">
        <f>TRIM(A2084&amp;"")</f>
        <v/>
      </c>
      <c r="AA2084">
        <f>IF(Z2084="","",IF(MATCH(SUBSTITUTE(SUBSTITUTE(SUBSTITUTE(Z2084,"~","~~"),"*","~*"),"?","~?"),$Z$5:$Z$5004,0)=2080,MAX($AA$4:AA2083)+1,""))</f>
        <v/>
      </c>
    </row>
    <row r="2085" spans="1:27">
      <c r="A2085" s="9"/>
      <c r="Z2085">
        <f>TRIM(A2085&amp;"")</f>
        <v/>
      </c>
      <c r="AA2085">
        <f>IF(Z2085="","",IF(MATCH(SUBSTITUTE(SUBSTITUTE(SUBSTITUTE(Z2085,"~","~~"),"*","~*"),"?","~?"),$Z$5:$Z$5004,0)=2081,MAX($AA$4:AA2084)+1,""))</f>
        <v/>
      </c>
    </row>
    <row r="2086" spans="1:27">
      <c r="A2086" s="9"/>
      <c r="Z2086">
        <f>TRIM(A2086&amp;"")</f>
        <v/>
      </c>
      <c r="AA2086">
        <f>IF(Z2086="","",IF(MATCH(SUBSTITUTE(SUBSTITUTE(SUBSTITUTE(Z2086,"~","~~"),"*","~*"),"?","~?"),$Z$5:$Z$5004,0)=2082,MAX($AA$4:AA2085)+1,""))</f>
        <v/>
      </c>
    </row>
    <row r="2087" spans="1:27">
      <c r="A2087" s="9"/>
      <c r="Z2087">
        <f>TRIM(A2087&amp;"")</f>
        <v/>
      </c>
      <c r="AA2087">
        <f>IF(Z2087="","",IF(MATCH(SUBSTITUTE(SUBSTITUTE(SUBSTITUTE(Z2087,"~","~~"),"*","~*"),"?","~?"),$Z$5:$Z$5004,0)=2083,MAX($AA$4:AA2086)+1,""))</f>
        <v/>
      </c>
    </row>
    <row r="2088" spans="1:27">
      <c r="A2088" s="9"/>
      <c r="Z2088">
        <f>TRIM(A2088&amp;"")</f>
        <v/>
      </c>
      <c r="AA2088">
        <f>IF(Z2088="","",IF(MATCH(SUBSTITUTE(SUBSTITUTE(SUBSTITUTE(Z2088,"~","~~"),"*","~*"),"?","~?"),$Z$5:$Z$5004,0)=2084,MAX($AA$4:AA2087)+1,""))</f>
        <v/>
      </c>
    </row>
    <row r="2089" spans="1:27">
      <c r="A2089" s="9"/>
      <c r="Z2089">
        <f>TRIM(A2089&amp;"")</f>
        <v/>
      </c>
      <c r="AA2089">
        <f>IF(Z2089="","",IF(MATCH(SUBSTITUTE(SUBSTITUTE(SUBSTITUTE(Z2089,"~","~~"),"*","~*"),"?","~?"),$Z$5:$Z$5004,0)=2085,MAX($AA$4:AA2088)+1,""))</f>
        <v/>
      </c>
    </row>
    <row r="2090" spans="1:27">
      <c r="A2090" s="9"/>
      <c r="Z2090">
        <f>TRIM(A2090&amp;"")</f>
        <v/>
      </c>
      <c r="AA2090">
        <f>IF(Z2090="","",IF(MATCH(SUBSTITUTE(SUBSTITUTE(SUBSTITUTE(Z2090,"~","~~"),"*","~*"),"?","~?"),$Z$5:$Z$5004,0)=2086,MAX($AA$4:AA2089)+1,""))</f>
        <v/>
      </c>
    </row>
    <row r="2091" spans="1:27">
      <c r="A2091" s="9"/>
      <c r="Z2091">
        <f>TRIM(A2091&amp;"")</f>
        <v/>
      </c>
      <c r="AA2091">
        <f>IF(Z2091="","",IF(MATCH(SUBSTITUTE(SUBSTITUTE(SUBSTITUTE(Z2091,"~","~~"),"*","~*"),"?","~?"),$Z$5:$Z$5004,0)=2087,MAX($AA$4:AA2090)+1,""))</f>
        <v/>
      </c>
    </row>
    <row r="2092" spans="1:27">
      <c r="A2092" s="9"/>
      <c r="Z2092">
        <f>TRIM(A2092&amp;"")</f>
        <v/>
      </c>
      <c r="AA2092">
        <f>IF(Z2092="","",IF(MATCH(SUBSTITUTE(SUBSTITUTE(SUBSTITUTE(Z2092,"~","~~"),"*","~*"),"?","~?"),$Z$5:$Z$5004,0)=2088,MAX($AA$4:AA2091)+1,""))</f>
        <v/>
      </c>
    </row>
    <row r="2093" spans="1:27">
      <c r="A2093" s="9"/>
      <c r="Z2093">
        <f>TRIM(A2093&amp;"")</f>
        <v/>
      </c>
      <c r="AA2093">
        <f>IF(Z2093="","",IF(MATCH(SUBSTITUTE(SUBSTITUTE(SUBSTITUTE(Z2093,"~","~~"),"*","~*"),"?","~?"),$Z$5:$Z$5004,0)=2089,MAX($AA$4:AA2092)+1,""))</f>
        <v/>
      </c>
    </row>
    <row r="2094" spans="1:27">
      <c r="A2094" s="9"/>
      <c r="Z2094">
        <f>TRIM(A2094&amp;"")</f>
        <v/>
      </c>
      <c r="AA2094">
        <f>IF(Z2094="","",IF(MATCH(SUBSTITUTE(SUBSTITUTE(SUBSTITUTE(Z2094,"~","~~"),"*","~*"),"?","~?"),$Z$5:$Z$5004,0)=2090,MAX($AA$4:AA2093)+1,""))</f>
        <v/>
      </c>
    </row>
    <row r="2095" spans="1:27">
      <c r="A2095" s="9"/>
      <c r="Z2095">
        <f>TRIM(A2095&amp;"")</f>
        <v/>
      </c>
      <c r="AA2095">
        <f>IF(Z2095="","",IF(MATCH(SUBSTITUTE(SUBSTITUTE(SUBSTITUTE(Z2095,"~","~~"),"*","~*"),"?","~?"),$Z$5:$Z$5004,0)=2091,MAX($AA$4:AA2094)+1,""))</f>
        <v/>
      </c>
    </row>
    <row r="2096" spans="1:27">
      <c r="A2096" s="9"/>
      <c r="Z2096">
        <f>TRIM(A2096&amp;"")</f>
        <v/>
      </c>
      <c r="AA2096">
        <f>IF(Z2096="","",IF(MATCH(SUBSTITUTE(SUBSTITUTE(SUBSTITUTE(Z2096,"~","~~"),"*","~*"),"?","~?"),$Z$5:$Z$5004,0)=2092,MAX($AA$4:AA2095)+1,""))</f>
        <v/>
      </c>
    </row>
    <row r="2097" spans="1:27">
      <c r="A2097" s="9"/>
      <c r="Z2097">
        <f>TRIM(A2097&amp;"")</f>
        <v/>
      </c>
      <c r="AA2097">
        <f>IF(Z2097="","",IF(MATCH(SUBSTITUTE(SUBSTITUTE(SUBSTITUTE(Z2097,"~","~~"),"*","~*"),"?","~?"),$Z$5:$Z$5004,0)=2093,MAX($AA$4:AA2096)+1,""))</f>
        <v/>
      </c>
    </row>
    <row r="2098" spans="1:27">
      <c r="A2098" s="9"/>
      <c r="Z2098">
        <f>TRIM(A2098&amp;"")</f>
        <v/>
      </c>
      <c r="AA2098">
        <f>IF(Z2098="","",IF(MATCH(SUBSTITUTE(SUBSTITUTE(SUBSTITUTE(Z2098,"~","~~"),"*","~*"),"?","~?"),$Z$5:$Z$5004,0)=2094,MAX($AA$4:AA2097)+1,""))</f>
        <v/>
      </c>
    </row>
    <row r="2099" spans="1:27">
      <c r="A2099" s="9"/>
      <c r="Z2099">
        <f>TRIM(A2099&amp;"")</f>
        <v/>
      </c>
      <c r="AA2099">
        <f>IF(Z2099="","",IF(MATCH(SUBSTITUTE(SUBSTITUTE(SUBSTITUTE(Z2099,"~","~~"),"*","~*"),"?","~?"),$Z$5:$Z$5004,0)=2095,MAX($AA$4:AA2098)+1,""))</f>
        <v/>
      </c>
    </row>
    <row r="2100" spans="1:27">
      <c r="A2100" s="9"/>
      <c r="Z2100">
        <f>TRIM(A2100&amp;"")</f>
        <v/>
      </c>
      <c r="AA2100">
        <f>IF(Z2100="","",IF(MATCH(SUBSTITUTE(SUBSTITUTE(SUBSTITUTE(Z2100,"~","~~"),"*","~*"),"?","~?"),$Z$5:$Z$5004,0)=2096,MAX($AA$4:AA2099)+1,""))</f>
        <v/>
      </c>
    </row>
    <row r="2101" spans="1:27">
      <c r="A2101" s="9"/>
      <c r="Z2101">
        <f>TRIM(A2101&amp;"")</f>
        <v/>
      </c>
      <c r="AA2101">
        <f>IF(Z2101="","",IF(MATCH(SUBSTITUTE(SUBSTITUTE(SUBSTITUTE(Z2101,"~","~~"),"*","~*"),"?","~?"),$Z$5:$Z$5004,0)=2097,MAX($AA$4:AA2100)+1,""))</f>
        <v/>
      </c>
    </row>
    <row r="2102" spans="1:27">
      <c r="A2102" s="9"/>
      <c r="Z2102">
        <f>TRIM(A2102&amp;"")</f>
        <v/>
      </c>
      <c r="AA2102">
        <f>IF(Z2102="","",IF(MATCH(SUBSTITUTE(SUBSTITUTE(SUBSTITUTE(Z2102,"~","~~"),"*","~*"),"?","~?"),$Z$5:$Z$5004,0)=2098,MAX($AA$4:AA2101)+1,""))</f>
        <v/>
      </c>
    </row>
    <row r="2103" spans="1:27">
      <c r="A2103" s="9"/>
      <c r="Z2103">
        <f>TRIM(A2103&amp;"")</f>
        <v/>
      </c>
      <c r="AA2103">
        <f>IF(Z2103="","",IF(MATCH(SUBSTITUTE(SUBSTITUTE(SUBSTITUTE(Z2103,"~","~~"),"*","~*"),"?","~?"),$Z$5:$Z$5004,0)=2099,MAX($AA$4:AA2102)+1,""))</f>
        <v/>
      </c>
    </row>
    <row r="2104" spans="1:27">
      <c r="A2104" s="9"/>
      <c r="Z2104">
        <f>TRIM(A2104&amp;"")</f>
        <v/>
      </c>
      <c r="AA2104">
        <f>IF(Z2104="","",IF(MATCH(SUBSTITUTE(SUBSTITUTE(SUBSTITUTE(Z2104,"~","~~"),"*","~*"),"?","~?"),$Z$5:$Z$5004,0)=2100,MAX($AA$4:AA2103)+1,""))</f>
        <v/>
      </c>
    </row>
    <row r="2105" spans="1:27">
      <c r="A2105" s="9"/>
      <c r="Z2105">
        <f>TRIM(A2105&amp;"")</f>
        <v/>
      </c>
      <c r="AA2105">
        <f>IF(Z2105="","",IF(MATCH(SUBSTITUTE(SUBSTITUTE(SUBSTITUTE(Z2105,"~","~~"),"*","~*"),"?","~?"),$Z$5:$Z$5004,0)=2101,MAX($AA$4:AA2104)+1,""))</f>
        <v/>
      </c>
    </row>
    <row r="2106" spans="1:27">
      <c r="A2106" s="9"/>
      <c r="Z2106">
        <f>TRIM(A2106&amp;"")</f>
        <v/>
      </c>
      <c r="AA2106">
        <f>IF(Z2106="","",IF(MATCH(SUBSTITUTE(SUBSTITUTE(SUBSTITUTE(Z2106,"~","~~"),"*","~*"),"?","~?"),$Z$5:$Z$5004,0)=2102,MAX($AA$4:AA2105)+1,""))</f>
        <v/>
      </c>
    </row>
    <row r="2107" spans="1:27">
      <c r="A2107" s="9"/>
      <c r="Z2107">
        <f>TRIM(A2107&amp;"")</f>
        <v/>
      </c>
      <c r="AA2107">
        <f>IF(Z2107="","",IF(MATCH(SUBSTITUTE(SUBSTITUTE(SUBSTITUTE(Z2107,"~","~~"),"*","~*"),"?","~?"),$Z$5:$Z$5004,0)=2103,MAX($AA$4:AA2106)+1,""))</f>
        <v/>
      </c>
    </row>
    <row r="2108" spans="1:27">
      <c r="A2108" s="9"/>
      <c r="Z2108">
        <f>TRIM(A2108&amp;"")</f>
        <v/>
      </c>
      <c r="AA2108">
        <f>IF(Z2108="","",IF(MATCH(SUBSTITUTE(SUBSTITUTE(SUBSTITUTE(Z2108,"~","~~"),"*","~*"),"?","~?"),$Z$5:$Z$5004,0)=2104,MAX($AA$4:AA2107)+1,""))</f>
        <v/>
      </c>
    </row>
    <row r="2109" spans="1:27">
      <c r="A2109" s="9"/>
      <c r="Z2109">
        <f>TRIM(A2109&amp;"")</f>
        <v/>
      </c>
      <c r="AA2109">
        <f>IF(Z2109="","",IF(MATCH(SUBSTITUTE(SUBSTITUTE(SUBSTITUTE(Z2109,"~","~~"),"*","~*"),"?","~?"),$Z$5:$Z$5004,0)=2105,MAX($AA$4:AA2108)+1,""))</f>
        <v/>
      </c>
    </row>
    <row r="2110" spans="1:27">
      <c r="A2110" s="9"/>
      <c r="Z2110">
        <f>TRIM(A2110&amp;"")</f>
        <v/>
      </c>
      <c r="AA2110">
        <f>IF(Z2110="","",IF(MATCH(SUBSTITUTE(SUBSTITUTE(SUBSTITUTE(Z2110,"~","~~"),"*","~*"),"?","~?"),$Z$5:$Z$5004,0)=2106,MAX($AA$4:AA2109)+1,""))</f>
        <v/>
      </c>
    </row>
    <row r="2111" spans="1:27">
      <c r="A2111" s="9"/>
      <c r="Z2111">
        <f>TRIM(A2111&amp;"")</f>
        <v/>
      </c>
      <c r="AA2111">
        <f>IF(Z2111="","",IF(MATCH(SUBSTITUTE(SUBSTITUTE(SUBSTITUTE(Z2111,"~","~~"),"*","~*"),"?","~?"),$Z$5:$Z$5004,0)=2107,MAX($AA$4:AA2110)+1,""))</f>
        <v/>
      </c>
    </row>
    <row r="2112" spans="1:27">
      <c r="A2112" s="9"/>
      <c r="Z2112">
        <f>TRIM(A2112&amp;"")</f>
        <v/>
      </c>
      <c r="AA2112">
        <f>IF(Z2112="","",IF(MATCH(SUBSTITUTE(SUBSTITUTE(SUBSTITUTE(Z2112,"~","~~"),"*","~*"),"?","~?"),$Z$5:$Z$5004,0)=2108,MAX($AA$4:AA2111)+1,""))</f>
        <v/>
      </c>
    </row>
    <row r="2113" spans="1:27">
      <c r="A2113" s="9"/>
      <c r="Z2113">
        <f>TRIM(A2113&amp;"")</f>
        <v/>
      </c>
      <c r="AA2113">
        <f>IF(Z2113="","",IF(MATCH(SUBSTITUTE(SUBSTITUTE(SUBSTITUTE(Z2113,"~","~~"),"*","~*"),"?","~?"),$Z$5:$Z$5004,0)=2109,MAX($AA$4:AA2112)+1,""))</f>
        <v/>
      </c>
    </row>
    <row r="2114" spans="1:27">
      <c r="A2114" s="9"/>
      <c r="Z2114">
        <f>TRIM(A2114&amp;"")</f>
        <v/>
      </c>
      <c r="AA2114">
        <f>IF(Z2114="","",IF(MATCH(SUBSTITUTE(SUBSTITUTE(SUBSTITUTE(Z2114,"~","~~"),"*","~*"),"?","~?"),$Z$5:$Z$5004,0)=2110,MAX($AA$4:AA2113)+1,""))</f>
        <v/>
      </c>
    </row>
    <row r="2115" spans="1:27">
      <c r="A2115" s="9"/>
      <c r="Z2115">
        <f>TRIM(A2115&amp;"")</f>
        <v/>
      </c>
      <c r="AA2115">
        <f>IF(Z2115="","",IF(MATCH(SUBSTITUTE(SUBSTITUTE(SUBSTITUTE(Z2115,"~","~~"),"*","~*"),"?","~?"),$Z$5:$Z$5004,0)=2111,MAX($AA$4:AA2114)+1,""))</f>
        <v/>
      </c>
    </row>
    <row r="2116" spans="1:27">
      <c r="A2116" s="9"/>
      <c r="Z2116">
        <f>TRIM(A2116&amp;"")</f>
        <v/>
      </c>
      <c r="AA2116">
        <f>IF(Z2116="","",IF(MATCH(SUBSTITUTE(SUBSTITUTE(SUBSTITUTE(Z2116,"~","~~"),"*","~*"),"?","~?"),$Z$5:$Z$5004,0)=2112,MAX($AA$4:AA2115)+1,""))</f>
        <v/>
      </c>
    </row>
    <row r="2117" spans="1:27">
      <c r="A2117" s="9"/>
      <c r="Z2117">
        <f>TRIM(A2117&amp;"")</f>
        <v/>
      </c>
      <c r="AA2117">
        <f>IF(Z2117="","",IF(MATCH(SUBSTITUTE(SUBSTITUTE(SUBSTITUTE(Z2117,"~","~~"),"*","~*"),"?","~?"),$Z$5:$Z$5004,0)=2113,MAX($AA$4:AA2116)+1,""))</f>
        <v/>
      </c>
    </row>
    <row r="2118" spans="1:27">
      <c r="A2118" s="9"/>
      <c r="Z2118">
        <f>TRIM(A2118&amp;"")</f>
        <v/>
      </c>
      <c r="AA2118">
        <f>IF(Z2118="","",IF(MATCH(SUBSTITUTE(SUBSTITUTE(SUBSTITUTE(Z2118,"~","~~"),"*","~*"),"?","~?"),$Z$5:$Z$5004,0)=2114,MAX($AA$4:AA2117)+1,""))</f>
        <v/>
      </c>
    </row>
    <row r="2119" spans="1:27">
      <c r="A2119" s="9"/>
      <c r="Z2119">
        <f>TRIM(A2119&amp;"")</f>
        <v/>
      </c>
      <c r="AA2119">
        <f>IF(Z2119="","",IF(MATCH(SUBSTITUTE(SUBSTITUTE(SUBSTITUTE(Z2119,"~","~~"),"*","~*"),"?","~?"),$Z$5:$Z$5004,0)=2115,MAX($AA$4:AA2118)+1,""))</f>
        <v/>
      </c>
    </row>
    <row r="2120" spans="1:27">
      <c r="A2120" s="9"/>
      <c r="Z2120">
        <f>TRIM(A2120&amp;"")</f>
        <v/>
      </c>
      <c r="AA2120">
        <f>IF(Z2120="","",IF(MATCH(SUBSTITUTE(SUBSTITUTE(SUBSTITUTE(Z2120,"~","~~"),"*","~*"),"?","~?"),$Z$5:$Z$5004,0)=2116,MAX($AA$4:AA2119)+1,""))</f>
        <v/>
      </c>
    </row>
    <row r="2121" spans="1:27">
      <c r="A2121" s="9"/>
      <c r="Z2121">
        <f>TRIM(A2121&amp;"")</f>
        <v/>
      </c>
      <c r="AA2121">
        <f>IF(Z2121="","",IF(MATCH(SUBSTITUTE(SUBSTITUTE(SUBSTITUTE(Z2121,"~","~~"),"*","~*"),"?","~?"),$Z$5:$Z$5004,0)=2117,MAX($AA$4:AA2120)+1,""))</f>
        <v/>
      </c>
    </row>
    <row r="2122" spans="1:27">
      <c r="A2122" s="9"/>
      <c r="Z2122">
        <f>TRIM(A2122&amp;"")</f>
        <v/>
      </c>
      <c r="AA2122">
        <f>IF(Z2122="","",IF(MATCH(SUBSTITUTE(SUBSTITUTE(SUBSTITUTE(Z2122,"~","~~"),"*","~*"),"?","~?"),$Z$5:$Z$5004,0)=2118,MAX($AA$4:AA2121)+1,""))</f>
        <v/>
      </c>
    </row>
    <row r="2123" spans="1:27">
      <c r="A2123" s="9"/>
      <c r="Z2123">
        <f>TRIM(A2123&amp;"")</f>
        <v/>
      </c>
      <c r="AA2123">
        <f>IF(Z2123="","",IF(MATCH(SUBSTITUTE(SUBSTITUTE(SUBSTITUTE(Z2123,"~","~~"),"*","~*"),"?","~?"),$Z$5:$Z$5004,0)=2119,MAX($AA$4:AA2122)+1,""))</f>
        <v/>
      </c>
    </row>
    <row r="2124" spans="1:27">
      <c r="A2124" s="9"/>
      <c r="Z2124">
        <f>TRIM(A2124&amp;"")</f>
        <v/>
      </c>
      <c r="AA2124">
        <f>IF(Z2124="","",IF(MATCH(SUBSTITUTE(SUBSTITUTE(SUBSTITUTE(Z2124,"~","~~"),"*","~*"),"?","~?"),$Z$5:$Z$5004,0)=2120,MAX($AA$4:AA2123)+1,""))</f>
        <v/>
      </c>
    </row>
    <row r="2125" spans="1:27">
      <c r="A2125" s="9"/>
      <c r="Z2125">
        <f>TRIM(A2125&amp;"")</f>
        <v/>
      </c>
      <c r="AA2125">
        <f>IF(Z2125="","",IF(MATCH(SUBSTITUTE(SUBSTITUTE(SUBSTITUTE(Z2125,"~","~~"),"*","~*"),"?","~?"),$Z$5:$Z$5004,0)=2121,MAX($AA$4:AA2124)+1,""))</f>
        <v/>
      </c>
    </row>
    <row r="2126" spans="1:27">
      <c r="A2126" s="9"/>
      <c r="Z2126">
        <f>TRIM(A2126&amp;"")</f>
        <v/>
      </c>
      <c r="AA2126">
        <f>IF(Z2126="","",IF(MATCH(SUBSTITUTE(SUBSTITUTE(SUBSTITUTE(Z2126,"~","~~"),"*","~*"),"?","~?"),$Z$5:$Z$5004,0)=2122,MAX($AA$4:AA2125)+1,""))</f>
        <v/>
      </c>
    </row>
    <row r="2127" spans="1:27">
      <c r="A2127" s="9"/>
      <c r="Z2127">
        <f>TRIM(A2127&amp;"")</f>
        <v/>
      </c>
      <c r="AA2127">
        <f>IF(Z2127="","",IF(MATCH(SUBSTITUTE(SUBSTITUTE(SUBSTITUTE(Z2127,"~","~~"),"*","~*"),"?","~?"),$Z$5:$Z$5004,0)=2123,MAX($AA$4:AA2126)+1,""))</f>
        <v/>
      </c>
    </row>
    <row r="2128" spans="1:27">
      <c r="A2128" s="9"/>
      <c r="Z2128">
        <f>TRIM(A2128&amp;"")</f>
        <v/>
      </c>
      <c r="AA2128">
        <f>IF(Z2128="","",IF(MATCH(SUBSTITUTE(SUBSTITUTE(SUBSTITUTE(Z2128,"~","~~"),"*","~*"),"?","~?"),$Z$5:$Z$5004,0)=2124,MAX($AA$4:AA2127)+1,""))</f>
        <v/>
      </c>
    </row>
    <row r="2129" spans="1:27">
      <c r="A2129" s="9"/>
      <c r="Z2129">
        <f>TRIM(A2129&amp;"")</f>
        <v/>
      </c>
      <c r="AA2129">
        <f>IF(Z2129="","",IF(MATCH(SUBSTITUTE(SUBSTITUTE(SUBSTITUTE(Z2129,"~","~~"),"*","~*"),"?","~?"),$Z$5:$Z$5004,0)=2125,MAX($AA$4:AA2128)+1,""))</f>
        <v/>
      </c>
    </row>
    <row r="2130" spans="1:27">
      <c r="A2130" s="9"/>
      <c r="Z2130">
        <f>TRIM(A2130&amp;"")</f>
        <v/>
      </c>
      <c r="AA2130">
        <f>IF(Z2130="","",IF(MATCH(SUBSTITUTE(SUBSTITUTE(SUBSTITUTE(Z2130,"~","~~"),"*","~*"),"?","~?"),$Z$5:$Z$5004,0)=2126,MAX($AA$4:AA2129)+1,""))</f>
        <v/>
      </c>
    </row>
    <row r="2131" spans="1:27">
      <c r="A2131" s="9"/>
      <c r="Z2131">
        <f>TRIM(A2131&amp;"")</f>
        <v/>
      </c>
      <c r="AA2131">
        <f>IF(Z2131="","",IF(MATCH(SUBSTITUTE(SUBSTITUTE(SUBSTITUTE(Z2131,"~","~~"),"*","~*"),"?","~?"),$Z$5:$Z$5004,0)=2127,MAX($AA$4:AA2130)+1,""))</f>
        <v/>
      </c>
    </row>
    <row r="2132" spans="1:27">
      <c r="A2132" s="9"/>
      <c r="Z2132">
        <f>TRIM(A2132&amp;"")</f>
        <v/>
      </c>
      <c r="AA2132">
        <f>IF(Z2132="","",IF(MATCH(SUBSTITUTE(SUBSTITUTE(SUBSTITUTE(Z2132,"~","~~"),"*","~*"),"?","~?"),$Z$5:$Z$5004,0)=2128,MAX($AA$4:AA2131)+1,""))</f>
        <v/>
      </c>
    </row>
    <row r="2133" spans="1:27">
      <c r="A2133" s="9"/>
      <c r="Z2133">
        <f>TRIM(A2133&amp;"")</f>
        <v/>
      </c>
      <c r="AA2133">
        <f>IF(Z2133="","",IF(MATCH(SUBSTITUTE(SUBSTITUTE(SUBSTITUTE(Z2133,"~","~~"),"*","~*"),"?","~?"),$Z$5:$Z$5004,0)=2129,MAX($AA$4:AA2132)+1,""))</f>
        <v/>
      </c>
    </row>
    <row r="2134" spans="1:27">
      <c r="A2134" s="9"/>
      <c r="Z2134">
        <f>TRIM(A2134&amp;"")</f>
        <v/>
      </c>
      <c r="AA2134">
        <f>IF(Z2134="","",IF(MATCH(SUBSTITUTE(SUBSTITUTE(SUBSTITUTE(Z2134,"~","~~"),"*","~*"),"?","~?"),$Z$5:$Z$5004,0)=2130,MAX($AA$4:AA2133)+1,""))</f>
        <v/>
      </c>
    </row>
    <row r="2135" spans="1:27">
      <c r="A2135" s="9"/>
      <c r="Z2135">
        <f>TRIM(A2135&amp;"")</f>
        <v/>
      </c>
      <c r="AA2135">
        <f>IF(Z2135="","",IF(MATCH(SUBSTITUTE(SUBSTITUTE(SUBSTITUTE(Z2135,"~","~~"),"*","~*"),"?","~?"),$Z$5:$Z$5004,0)=2131,MAX($AA$4:AA2134)+1,""))</f>
        <v/>
      </c>
    </row>
    <row r="2136" spans="1:27">
      <c r="A2136" s="9"/>
      <c r="Z2136">
        <f>TRIM(A2136&amp;"")</f>
        <v/>
      </c>
      <c r="AA2136">
        <f>IF(Z2136="","",IF(MATCH(SUBSTITUTE(SUBSTITUTE(SUBSTITUTE(Z2136,"~","~~"),"*","~*"),"?","~?"),$Z$5:$Z$5004,0)=2132,MAX($AA$4:AA2135)+1,""))</f>
        <v/>
      </c>
    </row>
    <row r="2137" spans="1:27">
      <c r="A2137" s="9"/>
      <c r="Z2137">
        <f>TRIM(A2137&amp;"")</f>
        <v/>
      </c>
      <c r="AA2137">
        <f>IF(Z2137="","",IF(MATCH(SUBSTITUTE(SUBSTITUTE(SUBSTITUTE(Z2137,"~","~~"),"*","~*"),"?","~?"),$Z$5:$Z$5004,0)=2133,MAX($AA$4:AA2136)+1,""))</f>
        <v/>
      </c>
    </row>
    <row r="2138" spans="1:27">
      <c r="A2138" s="9"/>
      <c r="Z2138">
        <f>TRIM(A2138&amp;"")</f>
        <v/>
      </c>
      <c r="AA2138">
        <f>IF(Z2138="","",IF(MATCH(SUBSTITUTE(SUBSTITUTE(SUBSTITUTE(Z2138,"~","~~"),"*","~*"),"?","~?"),$Z$5:$Z$5004,0)=2134,MAX($AA$4:AA2137)+1,""))</f>
        <v/>
      </c>
    </row>
    <row r="2139" spans="1:27">
      <c r="A2139" s="9"/>
      <c r="Z2139">
        <f>TRIM(A2139&amp;"")</f>
        <v/>
      </c>
      <c r="AA2139">
        <f>IF(Z2139="","",IF(MATCH(SUBSTITUTE(SUBSTITUTE(SUBSTITUTE(Z2139,"~","~~"),"*","~*"),"?","~?"),$Z$5:$Z$5004,0)=2135,MAX($AA$4:AA2138)+1,""))</f>
        <v/>
      </c>
    </row>
    <row r="2140" spans="1:27">
      <c r="A2140" s="9"/>
      <c r="Z2140">
        <f>TRIM(A2140&amp;"")</f>
        <v/>
      </c>
      <c r="AA2140">
        <f>IF(Z2140="","",IF(MATCH(SUBSTITUTE(SUBSTITUTE(SUBSTITUTE(Z2140,"~","~~"),"*","~*"),"?","~?"),$Z$5:$Z$5004,0)=2136,MAX($AA$4:AA2139)+1,""))</f>
        <v/>
      </c>
    </row>
    <row r="2141" spans="1:27">
      <c r="A2141" s="9"/>
      <c r="Z2141">
        <f>TRIM(A2141&amp;"")</f>
        <v/>
      </c>
      <c r="AA2141">
        <f>IF(Z2141="","",IF(MATCH(SUBSTITUTE(SUBSTITUTE(SUBSTITUTE(Z2141,"~","~~"),"*","~*"),"?","~?"),$Z$5:$Z$5004,0)=2137,MAX($AA$4:AA2140)+1,""))</f>
        <v/>
      </c>
    </row>
    <row r="2142" spans="1:27">
      <c r="A2142" s="9"/>
      <c r="Z2142">
        <f>TRIM(A2142&amp;"")</f>
        <v/>
      </c>
      <c r="AA2142">
        <f>IF(Z2142="","",IF(MATCH(SUBSTITUTE(SUBSTITUTE(SUBSTITUTE(Z2142,"~","~~"),"*","~*"),"?","~?"),$Z$5:$Z$5004,0)=2138,MAX($AA$4:AA2141)+1,""))</f>
        <v/>
      </c>
    </row>
    <row r="2143" spans="1:27">
      <c r="A2143" s="9"/>
      <c r="Z2143">
        <f>TRIM(A2143&amp;"")</f>
        <v/>
      </c>
      <c r="AA2143">
        <f>IF(Z2143="","",IF(MATCH(SUBSTITUTE(SUBSTITUTE(SUBSTITUTE(Z2143,"~","~~"),"*","~*"),"?","~?"),$Z$5:$Z$5004,0)=2139,MAX($AA$4:AA2142)+1,""))</f>
        <v/>
      </c>
    </row>
    <row r="2144" spans="1:27">
      <c r="A2144" s="9"/>
      <c r="Z2144">
        <f>TRIM(A2144&amp;"")</f>
        <v/>
      </c>
      <c r="AA2144">
        <f>IF(Z2144="","",IF(MATCH(SUBSTITUTE(SUBSTITUTE(SUBSTITUTE(Z2144,"~","~~"),"*","~*"),"?","~?"),$Z$5:$Z$5004,0)=2140,MAX($AA$4:AA2143)+1,""))</f>
        <v/>
      </c>
    </row>
    <row r="2145" spans="1:27">
      <c r="A2145" s="9"/>
      <c r="Z2145">
        <f>TRIM(A2145&amp;"")</f>
        <v/>
      </c>
      <c r="AA2145">
        <f>IF(Z2145="","",IF(MATCH(SUBSTITUTE(SUBSTITUTE(SUBSTITUTE(Z2145,"~","~~"),"*","~*"),"?","~?"),$Z$5:$Z$5004,0)=2141,MAX($AA$4:AA2144)+1,""))</f>
        <v/>
      </c>
    </row>
    <row r="2146" spans="1:27">
      <c r="A2146" s="9"/>
      <c r="Z2146">
        <f>TRIM(A2146&amp;"")</f>
        <v/>
      </c>
      <c r="AA2146">
        <f>IF(Z2146="","",IF(MATCH(SUBSTITUTE(SUBSTITUTE(SUBSTITUTE(Z2146,"~","~~"),"*","~*"),"?","~?"),$Z$5:$Z$5004,0)=2142,MAX($AA$4:AA2145)+1,""))</f>
        <v/>
      </c>
    </row>
    <row r="2147" spans="1:27">
      <c r="A2147" s="9"/>
      <c r="Z2147">
        <f>TRIM(A2147&amp;"")</f>
        <v/>
      </c>
      <c r="AA2147">
        <f>IF(Z2147="","",IF(MATCH(SUBSTITUTE(SUBSTITUTE(SUBSTITUTE(Z2147,"~","~~"),"*","~*"),"?","~?"),$Z$5:$Z$5004,0)=2143,MAX($AA$4:AA2146)+1,""))</f>
        <v/>
      </c>
    </row>
    <row r="2148" spans="1:27">
      <c r="A2148" s="9"/>
      <c r="Z2148">
        <f>TRIM(A2148&amp;"")</f>
        <v/>
      </c>
      <c r="AA2148">
        <f>IF(Z2148="","",IF(MATCH(SUBSTITUTE(SUBSTITUTE(SUBSTITUTE(Z2148,"~","~~"),"*","~*"),"?","~?"),$Z$5:$Z$5004,0)=2144,MAX($AA$4:AA2147)+1,""))</f>
        <v/>
      </c>
    </row>
    <row r="2149" spans="1:27">
      <c r="A2149" s="9"/>
      <c r="Z2149">
        <f>TRIM(A2149&amp;"")</f>
        <v/>
      </c>
      <c r="AA2149">
        <f>IF(Z2149="","",IF(MATCH(SUBSTITUTE(SUBSTITUTE(SUBSTITUTE(Z2149,"~","~~"),"*","~*"),"?","~?"),$Z$5:$Z$5004,0)=2145,MAX($AA$4:AA2148)+1,""))</f>
        <v/>
      </c>
    </row>
    <row r="2150" spans="1:27">
      <c r="A2150" s="9"/>
      <c r="Z2150">
        <f>TRIM(A2150&amp;"")</f>
        <v/>
      </c>
      <c r="AA2150">
        <f>IF(Z2150="","",IF(MATCH(SUBSTITUTE(SUBSTITUTE(SUBSTITUTE(Z2150,"~","~~"),"*","~*"),"?","~?"),$Z$5:$Z$5004,0)=2146,MAX($AA$4:AA2149)+1,""))</f>
        <v/>
      </c>
    </row>
    <row r="2151" spans="1:27">
      <c r="A2151" s="9"/>
      <c r="Z2151">
        <f>TRIM(A2151&amp;"")</f>
        <v/>
      </c>
      <c r="AA2151">
        <f>IF(Z2151="","",IF(MATCH(SUBSTITUTE(SUBSTITUTE(SUBSTITUTE(Z2151,"~","~~"),"*","~*"),"?","~?"),$Z$5:$Z$5004,0)=2147,MAX($AA$4:AA2150)+1,""))</f>
        <v/>
      </c>
    </row>
    <row r="2152" spans="1:27">
      <c r="A2152" s="9"/>
      <c r="Z2152">
        <f>TRIM(A2152&amp;"")</f>
        <v/>
      </c>
      <c r="AA2152">
        <f>IF(Z2152="","",IF(MATCH(SUBSTITUTE(SUBSTITUTE(SUBSTITUTE(Z2152,"~","~~"),"*","~*"),"?","~?"),$Z$5:$Z$5004,0)=2148,MAX($AA$4:AA2151)+1,""))</f>
        <v/>
      </c>
    </row>
    <row r="2153" spans="1:27">
      <c r="A2153" s="9"/>
      <c r="Z2153">
        <f>TRIM(A2153&amp;"")</f>
        <v/>
      </c>
      <c r="AA2153">
        <f>IF(Z2153="","",IF(MATCH(SUBSTITUTE(SUBSTITUTE(SUBSTITUTE(Z2153,"~","~~"),"*","~*"),"?","~?"),$Z$5:$Z$5004,0)=2149,MAX($AA$4:AA2152)+1,""))</f>
        <v/>
      </c>
    </row>
    <row r="2154" spans="1:27">
      <c r="A2154" s="9"/>
      <c r="Z2154">
        <f>TRIM(A2154&amp;"")</f>
        <v/>
      </c>
      <c r="AA2154">
        <f>IF(Z2154="","",IF(MATCH(SUBSTITUTE(SUBSTITUTE(SUBSTITUTE(Z2154,"~","~~"),"*","~*"),"?","~?"),$Z$5:$Z$5004,0)=2150,MAX($AA$4:AA2153)+1,""))</f>
        <v/>
      </c>
    </row>
    <row r="2155" spans="1:27">
      <c r="A2155" s="9"/>
      <c r="Z2155">
        <f>TRIM(A2155&amp;"")</f>
        <v/>
      </c>
      <c r="AA2155">
        <f>IF(Z2155="","",IF(MATCH(SUBSTITUTE(SUBSTITUTE(SUBSTITUTE(Z2155,"~","~~"),"*","~*"),"?","~?"),$Z$5:$Z$5004,0)=2151,MAX($AA$4:AA2154)+1,""))</f>
        <v/>
      </c>
    </row>
    <row r="2156" spans="1:27">
      <c r="A2156" s="9"/>
      <c r="Z2156">
        <f>TRIM(A2156&amp;"")</f>
        <v/>
      </c>
      <c r="AA2156">
        <f>IF(Z2156="","",IF(MATCH(SUBSTITUTE(SUBSTITUTE(SUBSTITUTE(Z2156,"~","~~"),"*","~*"),"?","~?"),$Z$5:$Z$5004,0)=2152,MAX($AA$4:AA2155)+1,""))</f>
        <v/>
      </c>
    </row>
    <row r="2157" spans="1:27">
      <c r="A2157" s="9"/>
      <c r="Z2157">
        <f>TRIM(A2157&amp;"")</f>
        <v/>
      </c>
      <c r="AA2157">
        <f>IF(Z2157="","",IF(MATCH(SUBSTITUTE(SUBSTITUTE(SUBSTITUTE(Z2157,"~","~~"),"*","~*"),"?","~?"),$Z$5:$Z$5004,0)=2153,MAX($AA$4:AA2156)+1,""))</f>
        <v/>
      </c>
    </row>
    <row r="2158" spans="1:27">
      <c r="A2158" s="9"/>
      <c r="Z2158">
        <f>TRIM(A2158&amp;"")</f>
        <v/>
      </c>
      <c r="AA2158">
        <f>IF(Z2158="","",IF(MATCH(SUBSTITUTE(SUBSTITUTE(SUBSTITUTE(Z2158,"~","~~"),"*","~*"),"?","~?"),$Z$5:$Z$5004,0)=2154,MAX($AA$4:AA2157)+1,""))</f>
        <v/>
      </c>
    </row>
    <row r="2159" spans="1:27">
      <c r="A2159" s="9"/>
      <c r="Z2159">
        <f>TRIM(A2159&amp;"")</f>
        <v/>
      </c>
      <c r="AA2159">
        <f>IF(Z2159="","",IF(MATCH(SUBSTITUTE(SUBSTITUTE(SUBSTITUTE(Z2159,"~","~~"),"*","~*"),"?","~?"),$Z$5:$Z$5004,0)=2155,MAX($AA$4:AA2158)+1,""))</f>
        <v/>
      </c>
    </row>
    <row r="2160" spans="1:27">
      <c r="A2160" s="9"/>
      <c r="Z2160">
        <f>TRIM(A2160&amp;"")</f>
        <v/>
      </c>
      <c r="AA2160">
        <f>IF(Z2160="","",IF(MATCH(SUBSTITUTE(SUBSTITUTE(SUBSTITUTE(Z2160,"~","~~"),"*","~*"),"?","~?"),$Z$5:$Z$5004,0)=2156,MAX($AA$4:AA2159)+1,""))</f>
        <v/>
      </c>
    </row>
    <row r="2161" spans="1:27">
      <c r="A2161" s="9"/>
      <c r="Z2161">
        <f>TRIM(A2161&amp;"")</f>
        <v/>
      </c>
      <c r="AA2161">
        <f>IF(Z2161="","",IF(MATCH(SUBSTITUTE(SUBSTITUTE(SUBSTITUTE(Z2161,"~","~~"),"*","~*"),"?","~?"),$Z$5:$Z$5004,0)=2157,MAX($AA$4:AA2160)+1,""))</f>
        <v/>
      </c>
    </row>
    <row r="2162" spans="1:27">
      <c r="A2162" s="9"/>
      <c r="Z2162">
        <f>TRIM(A2162&amp;"")</f>
        <v/>
      </c>
      <c r="AA2162">
        <f>IF(Z2162="","",IF(MATCH(SUBSTITUTE(SUBSTITUTE(SUBSTITUTE(Z2162,"~","~~"),"*","~*"),"?","~?"),$Z$5:$Z$5004,0)=2158,MAX($AA$4:AA2161)+1,""))</f>
        <v/>
      </c>
    </row>
    <row r="2163" spans="1:27">
      <c r="A2163" s="9"/>
      <c r="Z2163">
        <f>TRIM(A2163&amp;"")</f>
        <v/>
      </c>
      <c r="AA2163">
        <f>IF(Z2163="","",IF(MATCH(SUBSTITUTE(SUBSTITUTE(SUBSTITUTE(Z2163,"~","~~"),"*","~*"),"?","~?"),$Z$5:$Z$5004,0)=2159,MAX($AA$4:AA2162)+1,""))</f>
        <v/>
      </c>
    </row>
    <row r="2164" spans="1:27">
      <c r="A2164" s="9"/>
      <c r="Z2164">
        <f>TRIM(A2164&amp;"")</f>
        <v/>
      </c>
      <c r="AA2164">
        <f>IF(Z2164="","",IF(MATCH(SUBSTITUTE(SUBSTITUTE(SUBSTITUTE(Z2164,"~","~~"),"*","~*"),"?","~?"),$Z$5:$Z$5004,0)=2160,MAX($AA$4:AA2163)+1,""))</f>
        <v/>
      </c>
    </row>
    <row r="2165" spans="1:27">
      <c r="A2165" s="9"/>
      <c r="Z2165">
        <f>TRIM(A2165&amp;"")</f>
        <v/>
      </c>
      <c r="AA2165">
        <f>IF(Z2165="","",IF(MATCH(SUBSTITUTE(SUBSTITUTE(SUBSTITUTE(Z2165,"~","~~"),"*","~*"),"?","~?"),$Z$5:$Z$5004,0)=2161,MAX($AA$4:AA2164)+1,""))</f>
        <v/>
      </c>
    </row>
    <row r="2166" spans="1:27">
      <c r="A2166" s="9"/>
      <c r="Z2166">
        <f>TRIM(A2166&amp;"")</f>
        <v/>
      </c>
      <c r="AA2166">
        <f>IF(Z2166="","",IF(MATCH(SUBSTITUTE(SUBSTITUTE(SUBSTITUTE(Z2166,"~","~~"),"*","~*"),"?","~?"),$Z$5:$Z$5004,0)=2162,MAX($AA$4:AA2165)+1,""))</f>
        <v/>
      </c>
    </row>
    <row r="2167" spans="1:27">
      <c r="A2167" s="9"/>
      <c r="Z2167">
        <f>TRIM(A2167&amp;"")</f>
        <v/>
      </c>
      <c r="AA2167">
        <f>IF(Z2167="","",IF(MATCH(SUBSTITUTE(SUBSTITUTE(SUBSTITUTE(Z2167,"~","~~"),"*","~*"),"?","~?"),$Z$5:$Z$5004,0)=2163,MAX($AA$4:AA2166)+1,""))</f>
        <v/>
      </c>
    </row>
    <row r="2168" spans="1:27">
      <c r="A2168" s="9"/>
      <c r="Z2168">
        <f>TRIM(A2168&amp;"")</f>
        <v/>
      </c>
      <c r="AA2168">
        <f>IF(Z2168="","",IF(MATCH(SUBSTITUTE(SUBSTITUTE(SUBSTITUTE(Z2168,"~","~~"),"*","~*"),"?","~?"),$Z$5:$Z$5004,0)=2164,MAX($AA$4:AA2167)+1,""))</f>
        <v/>
      </c>
    </row>
    <row r="2169" spans="1:27">
      <c r="A2169" s="9"/>
      <c r="Z2169">
        <f>TRIM(A2169&amp;"")</f>
        <v/>
      </c>
      <c r="AA2169">
        <f>IF(Z2169="","",IF(MATCH(SUBSTITUTE(SUBSTITUTE(SUBSTITUTE(Z2169,"~","~~"),"*","~*"),"?","~?"),$Z$5:$Z$5004,0)=2165,MAX($AA$4:AA2168)+1,""))</f>
        <v/>
      </c>
    </row>
    <row r="2170" spans="1:27">
      <c r="A2170" s="9"/>
      <c r="Z2170">
        <f>TRIM(A2170&amp;"")</f>
        <v/>
      </c>
      <c r="AA2170">
        <f>IF(Z2170="","",IF(MATCH(SUBSTITUTE(SUBSTITUTE(SUBSTITUTE(Z2170,"~","~~"),"*","~*"),"?","~?"),$Z$5:$Z$5004,0)=2166,MAX($AA$4:AA2169)+1,""))</f>
        <v/>
      </c>
    </row>
    <row r="2171" spans="1:27">
      <c r="A2171" s="9"/>
      <c r="Z2171">
        <f>TRIM(A2171&amp;"")</f>
        <v/>
      </c>
      <c r="AA2171">
        <f>IF(Z2171="","",IF(MATCH(SUBSTITUTE(SUBSTITUTE(SUBSTITUTE(Z2171,"~","~~"),"*","~*"),"?","~?"),$Z$5:$Z$5004,0)=2167,MAX($AA$4:AA2170)+1,""))</f>
        <v/>
      </c>
    </row>
    <row r="2172" spans="1:27">
      <c r="A2172" s="9"/>
      <c r="Z2172">
        <f>TRIM(A2172&amp;"")</f>
        <v/>
      </c>
      <c r="AA2172">
        <f>IF(Z2172="","",IF(MATCH(SUBSTITUTE(SUBSTITUTE(SUBSTITUTE(Z2172,"~","~~"),"*","~*"),"?","~?"),$Z$5:$Z$5004,0)=2168,MAX($AA$4:AA2171)+1,""))</f>
        <v/>
      </c>
    </row>
    <row r="2173" spans="1:27">
      <c r="A2173" s="9"/>
      <c r="Z2173">
        <f>TRIM(A2173&amp;"")</f>
        <v/>
      </c>
      <c r="AA2173">
        <f>IF(Z2173="","",IF(MATCH(SUBSTITUTE(SUBSTITUTE(SUBSTITUTE(Z2173,"~","~~"),"*","~*"),"?","~?"),$Z$5:$Z$5004,0)=2169,MAX($AA$4:AA2172)+1,""))</f>
        <v/>
      </c>
    </row>
    <row r="2174" spans="1:27">
      <c r="A2174" s="9"/>
      <c r="Z2174">
        <f>TRIM(A2174&amp;"")</f>
        <v/>
      </c>
      <c r="AA2174">
        <f>IF(Z2174="","",IF(MATCH(SUBSTITUTE(SUBSTITUTE(SUBSTITUTE(Z2174,"~","~~"),"*","~*"),"?","~?"),$Z$5:$Z$5004,0)=2170,MAX($AA$4:AA2173)+1,""))</f>
        <v/>
      </c>
    </row>
    <row r="2175" spans="1:27">
      <c r="A2175" s="9"/>
      <c r="Z2175">
        <f>TRIM(A2175&amp;"")</f>
        <v/>
      </c>
      <c r="AA2175">
        <f>IF(Z2175="","",IF(MATCH(SUBSTITUTE(SUBSTITUTE(SUBSTITUTE(Z2175,"~","~~"),"*","~*"),"?","~?"),$Z$5:$Z$5004,0)=2171,MAX($AA$4:AA2174)+1,""))</f>
        <v/>
      </c>
    </row>
    <row r="2176" spans="1:27">
      <c r="A2176" s="9"/>
      <c r="Z2176">
        <f>TRIM(A2176&amp;"")</f>
        <v/>
      </c>
      <c r="AA2176">
        <f>IF(Z2176="","",IF(MATCH(SUBSTITUTE(SUBSTITUTE(SUBSTITUTE(Z2176,"~","~~"),"*","~*"),"?","~?"),$Z$5:$Z$5004,0)=2172,MAX($AA$4:AA2175)+1,""))</f>
        <v/>
      </c>
    </row>
    <row r="2177" spans="1:27">
      <c r="A2177" s="9"/>
      <c r="Z2177">
        <f>TRIM(A2177&amp;"")</f>
        <v/>
      </c>
      <c r="AA2177">
        <f>IF(Z2177="","",IF(MATCH(SUBSTITUTE(SUBSTITUTE(SUBSTITUTE(Z2177,"~","~~"),"*","~*"),"?","~?"),$Z$5:$Z$5004,0)=2173,MAX($AA$4:AA2176)+1,""))</f>
        <v/>
      </c>
    </row>
    <row r="2178" spans="1:27">
      <c r="A2178" s="9"/>
      <c r="Z2178">
        <f>TRIM(A2178&amp;"")</f>
        <v/>
      </c>
      <c r="AA2178">
        <f>IF(Z2178="","",IF(MATCH(SUBSTITUTE(SUBSTITUTE(SUBSTITUTE(Z2178,"~","~~"),"*","~*"),"?","~?"),$Z$5:$Z$5004,0)=2174,MAX($AA$4:AA2177)+1,""))</f>
        <v/>
      </c>
    </row>
    <row r="2179" spans="1:27">
      <c r="A2179" s="9"/>
      <c r="Z2179">
        <f>TRIM(A2179&amp;"")</f>
        <v/>
      </c>
      <c r="AA2179">
        <f>IF(Z2179="","",IF(MATCH(SUBSTITUTE(SUBSTITUTE(SUBSTITUTE(Z2179,"~","~~"),"*","~*"),"?","~?"),$Z$5:$Z$5004,0)=2175,MAX($AA$4:AA2178)+1,""))</f>
        <v/>
      </c>
    </row>
    <row r="2180" spans="1:27">
      <c r="A2180" s="9"/>
      <c r="Z2180">
        <f>TRIM(A2180&amp;"")</f>
        <v/>
      </c>
      <c r="AA2180">
        <f>IF(Z2180="","",IF(MATCH(SUBSTITUTE(SUBSTITUTE(SUBSTITUTE(Z2180,"~","~~"),"*","~*"),"?","~?"),$Z$5:$Z$5004,0)=2176,MAX($AA$4:AA2179)+1,""))</f>
        <v/>
      </c>
    </row>
    <row r="2181" spans="1:27">
      <c r="A2181" s="9"/>
      <c r="Z2181">
        <f>TRIM(A2181&amp;"")</f>
        <v/>
      </c>
      <c r="AA2181">
        <f>IF(Z2181="","",IF(MATCH(SUBSTITUTE(SUBSTITUTE(SUBSTITUTE(Z2181,"~","~~"),"*","~*"),"?","~?"),$Z$5:$Z$5004,0)=2177,MAX($AA$4:AA2180)+1,""))</f>
        <v/>
      </c>
    </row>
    <row r="2182" spans="1:27">
      <c r="A2182" s="9"/>
      <c r="Z2182">
        <f>TRIM(A2182&amp;"")</f>
        <v/>
      </c>
      <c r="AA2182">
        <f>IF(Z2182="","",IF(MATCH(SUBSTITUTE(SUBSTITUTE(SUBSTITUTE(Z2182,"~","~~"),"*","~*"),"?","~?"),$Z$5:$Z$5004,0)=2178,MAX($AA$4:AA2181)+1,""))</f>
        <v/>
      </c>
    </row>
    <row r="2183" spans="1:27">
      <c r="A2183" s="9"/>
      <c r="Z2183">
        <f>TRIM(A2183&amp;"")</f>
        <v/>
      </c>
      <c r="AA2183">
        <f>IF(Z2183="","",IF(MATCH(SUBSTITUTE(SUBSTITUTE(SUBSTITUTE(Z2183,"~","~~"),"*","~*"),"?","~?"),$Z$5:$Z$5004,0)=2179,MAX($AA$4:AA2182)+1,""))</f>
        <v/>
      </c>
    </row>
    <row r="2184" spans="1:27">
      <c r="A2184" s="9"/>
      <c r="Z2184">
        <f>TRIM(A2184&amp;"")</f>
        <v/>
      </c>
      <c r="AA2184">
        <f>IF(Z2184="","",IF(MATCH(SUBSTITUTE(SUBSTITUTE(SUBSTITUTE(Z2184,"~","~~"),"*","~*"),"?","~?"),$Z$5:$Z$5004,0)=2180,MAX($AA$4:AA2183)+1,""))</f>
        <v/>
      </c>
    </row>
    <row r="2185" spans="1:27">
      <c r="A2185" s="9"/>
      <c r="Z2185">
        <f>TRIM(A2185&amp;"")</f>
        <v/>
      </c>
      <c r="AA2185">
        <f>IF(Z2185="","",IF(MATCH(SUBSTITUTE(SUBSTITUTE(SUBSTITUTE(Z2185,"~","~~"),"*","~*"),"?","~?"),$Z$5:$Z$5004,0)=2181,MAX($AA$4:AA2184)+1,""))</f>
        <v/>
      </c>
    </row>
    <row r="2186" spans="1:27">
      <c r="A2186" s="9"/>
      <c r="Z2186">
        <f>TRIM(A2186&amp;"")</f>
        <v/>
      </c>
      <c r="AA2186">
        <f>IF(Z2186="","",IF(MATCH(SUBSTITUTE(SUBSTITUTE(SUBSTITUTE(Z2186,"~","~~"),"*","~*"),"?","~?"),$Z$5:$Z$5004,0)=2182,MAX($AA$4:AA2185)+1,""))</f>
        <v/>
      </c>
    </row>
    <row r="2187" spans="1:27">
      <c r="A2187" s="9"/>
      <c r="Z2187">
        <f>TRIM(A2187&amp;"")</f>
        <v/>
      </c>
      <c r="AA2187">
        <f>IF(Z2187="","",IF(MATCH(SUBSTITUTE(SUBSTITUTE(SUBSTITUTE(Z2187,"~","~~"),"*","~*"),"?","~?"),$Z$5:$Z$5004,0)=2183,MAX($AA$4:AA2186)+1,""))</f>
        <v/>
      </c>
    </row>
    <row r="2188" spans="1:27">
      <c r="A2188" s="9"/>
      <c r="Z2188">
        <f>TRIM(A2188&amp;"")</f>
        <v/>
      </c>
      <c r="AA2188">
        <f>IF(Z2188="","",IF(MATCH(SUBSTITUTE(SUBSTITUTE(SUBSTITUTE(Z2188,"~","~~"),"*","~*"),"?","~?"),$Z$5:$Z$5004,0)=2184,MAX($AA$4:AA2187)+1,""))</f>
        <v/>
      </c>
    </row>
    <row r="2189" spans="1:27">
      <c r="A2189" s="9"/>
      <c r="Z2189">
        <f>TRIM(A2189&amp;"")</f>
        <v/>
      </c>
      <c r="AA2189">
        <f>IF(Z2189="","",IF(MATCH(SUBSTITUTE(SUBSTITUTE(SUBSTITUTE(Z2189,"~","~~"),"*","~*"),"?","~?"),$Z$5:$Z$5004,0)=2185,MAX($AA$4:AA2188)+1,""))</f>
        <v/>
      </c>
    </row>
    <row r="2190" spans="1:27">
      <c r="A2190" s="9"/>
      <c r="Z2190">
        <f>TRIM(A2190&amp;"")</f>
        <v/>
      </c>
      <c r="AA2190">
        <f>IF(Z2190="","",IF(MATCH(SUBSTITUTE(SUBSTITUTE(SUBSTITUTE(Z2190,"~","~~"),"*","~*"),"?","~?"),$Z$5:$Z$5004,0)=2186,MAX($AA$4:AA2189)+1,""))</f>
        <v/>
      </c>
    </row>
    <row r="2191" spans="1:27">
      <c r="A2191" s="9"/>
      <c r="Z2191">
        <f>TRIM(A2191&amp;"")</f>
        <v/>
      </c>
      <c r="AA2191">
        <f>IF(Z2191="","",IF(MATCH(SUBSTITUTE(SUBSTITUTE(SUBSTITUTE(Z2191,"~","~~"),"*","~*"),"?","~?"),$Z$5:$Z$5004,0)=2187,MAX($AA$4:AA2190)+1,""))</f>
        <v/>
      </c>
    </row>
    <row r="2192" spans="1:27">
      <c r="A2192" s="9"/>
      <c r="Z2192">
        <f>TRIM(A2192&amp;"")</f>
        <v/>
      </c>
      <c r="AA2192">
        <f>IF(Z2192="","",IF(MATCH(SUBSTITUTE(SUBSTITUTE(SUBSTITUTE(Z2192,"~","~~"),"*","~*"),"?","~?"),$Z$5:$Z$5004,0)=2188,MAX($AA$4:AA2191)+1,""))</f>
        <v/>
      </c>
    </row>
    <row r="2193" spans="1:27">
      <c r="A2193" s="9"/>
      <c r="Z2193">
        <f>TRIM(A2193&amp;"")</f>
        <v/>
      </c>
      <c r="AA2193">
        <f>IF(Z2193="","",IF(MATCH(SUBSTITUTE(SUBSTITUTE(SUBSTITUTE(Z2193,"~","~~"),"*","~*"),"?","~?"),$Z$5:$Z$5004,0)=2189,MAX($AA$4:AA2192)+1,""))</f>
        <v/>
      </c>
    </row>
    <row r="2194" spans="1:27">
      <c r="A2194" s="9"/>
      <c r="Z2194">
        <f>TRIM(A2194&amp;"")</f>
        <v/>
      </c>
      <c r="AA2194">
        <f>IF(Z2194="","",IF(MATCH(SUBSTITUTE(SUBSTITUTE(SUBSTITUTE(Z2194,"~","~~"),"*","~*"),"?","~?"),$Z$5:$Z$5004,0)=2190,MAX($AA$4:AA2193)+1,""))</f>
        <v/>
      </c>
    </row>
    <row r="2195" spans="1:27">
      <c r="A2195" s="9"/>
      <c r="Z2195">
        <f>TRIM(A2195&amp;"")</f>
        <v/>
      </c>
      <c r="AA2195">
        <f>IF(Z2195="","",IF(MATCH(SUBSTITUTE(SUBSTITUTE(SUBSTITUTE(Z2195,"~","~~"),"*","~*"),"?","~?"),$Z$5:$Z$5004,0)=2191,MAX($AA$4:AA2194)+1,""))</f>
        <v/>
      </c>
    </row>
    <row r="2196" spans="1:27">
      <c r="A2196" s="9"/>
      <c r="Z2196">
        <f>TRIM(A2196&amp;"")</f>
        <v/>
      </c>
      <c r="AA2196">
        <f>IF(Z2196="","",IF(MATCH(SUBSTITUTE(SUBSTITUTE(SUBSTITUTE(Z2196,"~","~~"),"*","~*"),"?","~?"),$Z$5:$Z$5004,0)=2192,MAX($AA$4:AA2195)+1,""))</f>
        <v/>
      </c>
    </row>
    <row r="2197" spans="1:27">
      <c r="A2197" s="9"/>
      <c r="Z2197">
        <f>TRIM(A2197&amp;"")</f>
        <v/>
      </c>
      <c r="AA2197">
        <f>IF(Z2197="","",IF(MATCH(SUBSTITUTE(SUBSTITUTE(SUBSTITUTE(Z2197,"~","~~"),"*","~*"),"?","~?"),$Z$5:$Z$5004,0)=2193,MAX($AA$4:AA2196)+1,""))</f>
        <v/>
      </c>
    </row>
    <row r="2198" spans="1:27">
      <c r="A2198" s="9"/>
      <c r="Z2198">
        <f>TRIM(A2198&amp;"")</f>
        <v/>
      </c>
      <c r="AA2198">
        <f>IF(Z2198="","",IF(MATCH(SUBSTITUTE(SUBSTITUTE(SUBSTITUTE(Z2198,"~","~~"),"*","~*"),"?","~?"),$Z$5:$Z$5004,0)=2194,MAX($AA$4:AA2197)+1,""))</f>
        <v/>
      </c>
    </row>
    <row r="2199" spans="1:27">
      <c r="A2199" s="9"/>
      <c r="Z2199">
        <f>TRIM(A2199&amp;"")</f>
        <v/>
      </c>
      <c r="AA2199">
        <f>IF(Z2199="","",IF(MATCH(SUBSTITUTE(SUBSTITUTE(SUBSTITUTE(Z2199,"~","~~"),"*","~*"),"?","~?"),$Z$5:$Z$5004,0)=2195,MAX($AA$4:AA2198)+1,""))</f>
        <v/>
      </c>
    </row>
    <row r="2200" spans="1:27">
      <c r="A2200" s="9"/>
      <c r="Z2200">
        <f>TRIM(A2200&amp;"")</f>
        <v/>
      </c>
      <c r="AA2200">
        <f>IF(Z2200="","",IF(MATCH(SUBSTITUTE(SUBSTITUTE(SUBSTITUTE(Z2200,"~","~~"),"*","~*"),"?","~?"),$Z$5:$Z$5004,0)=2196,MAX($AA$4:AA2199)+1,""))</f>
        <v/>
      </c>
    </row>
    <row r="2201" spans="1:27">
      <c r="A2201" s="9"/>
      <c r="Z2201">
        <f>TRIM(A2201&amp;"")</f>
        <v/>
      </c>
      <c r="AA2201">
        <f>IF(Z2201="","",IF(MATCH(SUBSTITUTE(SUBSTITUTE(SUBSTITUTE(Z2201,"~","~~"),"*","~*"),"?","~?"),$Z$5:$Z$5004,0)=2197,MAX($AA$4:AA2200)+1,""))</f>
        <v/>
      </c>
    </row>
    <row r="2202" spans="1:27">
      <c r="A2202" s="9"/>
      <c r="Z2202">
        <f>TRIM(A2202&amp;"")</f>
        <v/>
      </c>
      <c r="AA2202">
        <f>IF(Z2202="","",IF(MATCH(SUBSTITUTE(SUBSTITUTE(SUBSTITUTE(Z2202,"~","~~"),"*","~*"),"?","~?"),$Z$5:$Z$5004,0)=2198,MAX($AA$4:AA2201)+1,""))</f>
        <v/>
      </c>
    </row>
    <row r="2203" spans="1:27">
      <c r="A2203" s="9"/>
      <c r="Z2203">
        <f>TRIM(A2203&amp;"")</f>
        <v/>
      </c>
      <c r="AA2203">
        <f>IF(Z2203="","",IF(MATCH(SUBSTITUTE(SUBSTITUTE(SUBSTITUTE(Z2203,"~","~~"),"*","~*"),"?","~?"),$Z$5:$Z$5004,0)=2199,MAX($AA$4:AA2202)+1,""))</f>
        <v/>
      </c>
    </row>
    <row r="2204" spans="1:27">
      <c r="A2204" s="9"/>
      <c r="Z2204">
        <f>TRIM(A2204&amp;"")</f>
        <v/>
      </c>
      <c r="AA2204">
        <f>IF(Z2204="","",IF(MATCH(SUBSTITUTE(SUBSTITUTE(SUBSTITUTE(Z2204,"~","~~"),"*","~*"),"?","~?"),$Z$5:$Z$5004,0)=2200,MAX($AA$4:AA2203)+1,""))</f>
        <v/>
      </c>
    </row>
    <row r="2205" spans="1:27">
      <c r="A2205" s="9"/>
      <c r="Z2205">
        <f>TRIM(A2205&amp;"")</f>
        <v/>
      </c>
      <c r="AA2205">
        <f>IF(Z2205="","",IF(MATCH(SUBSTITUTE(SUBSTITUTE(SUBSTITUTE(Z2205,"~","~~"),"*","~*"),"?","~?"),$Z$5:$Z$5004,0)=2201,MAX($AA$4:AA2204)+1,""))</f>
        <v/>
      </c>
    </row>
    <row r="2206" spans="1:27">
      <c r="A2206" s="9"/>
      <c r="Z2206">
        <f>TRIM(A2206&amp;"")</f>
        <v/>
      </c>
      <c r="AA2206">
        <f>IF(Z2206="","",IF(MATCH(SUBSTITUTE(SUBSTITUTE(SUBSTITUTE(Z2206,"~","~~"),"*","~*"),"?","~?"),$Z$5:$Z$5004,0)=2202,MAX($AA$4:AA2205)+1,""))</f>
        <v/>
      </c>
    </row>
    <row r="2207" spans="1:27">
      <c r="A2207" s="9"/>
      <c r="Z2207">
        <f>TRIM(A2207&amp;"")</f>
        <v/>
      </c>
      <c r="AA2207">
        <f>IF(Z2207="","",IF(MATCH(SUBSTITUTE(SUBSTITUTE(SUBSTITUTE(Z2207,"~","~~"),"*","~*"),"?","~?"),$Z$5:$Z$5004,0)=2203,MAX($AA$4:AA2206)+1,""))</f>
        <v/>
      </c>
    </row>
    <row r="2208" spans="1:27">
      <c r="A2208" s="9"/>
      <c r="Z2208">
        <f>TRIM(A2208&amp;"")</f>
        <v/>
      </c>
      <c r="AA2208">
        <f>IF(Z2208="","",IF(MATCH(SUBSTITUTE(SUBSTITUTE(SUBSTITUTE(Z2208,"~","~~"),"*","~*"),"?","~?"),$Z$5:$Z$5004,0)=2204,MAX($AA$4:AA2207)+1,""))</f>
        <v/>
      </c>
    </row>
    <row r="2209" spans="1:27">
      <c r="A2209" s="9"/>
      <c r="Z2209">
        <f>TRIM(A2209&amp;"")</f>
        <v/>
      </c>
      <c r="AA2209">
        <f>IF(Z2209="","",IF(MATCH(SUBSTITUTE(SUBSTITUTE(SUBSTITUTE(Z2209,"~","~~"),"*","~*"),"?","~?"),$Z$5:$Z$5004,0)=2205,MAX($AA$4:AA2208)+1,""))</f>
        <v/>
      </c>
    </row>
    <row r="2210" spans="1:27">
      <c r="A2210" s="9"/>
      <c r="Z2210">
        <f>TRIM(A2210&amp;"")</f>
        <v/>
      </c>
      <c r="AA2210">
        <f>IF(Z2210="","",IF(MATCH(SUBSTITUTE(SUBSTITUTE(SUBSTITUTE(Z2210,"~","~~"),"*","~*"),"?","~?"),$Z$5:$Z$5004,0)=2206,MAX($AA$4:AA2209)+1,""))</f>
        <v/>
      </c>
    </row>
    <row r="2211" spans="1:27">
      <c r="A2211" s="9"/>
      <c r="Z2211">
        <f>TRIM(A2211&amp;"")</f>
        <v/>
      </c>
      <c r="AA2211">
        <f>IF(Z2211="","",IF(MATCH(SUBSTITUTE(SUBSTITUTE(SUBSTITUTE(Z2211,"~","~~"),"*","~*"),"?","~?"),$Z$5:$Z$5004,0)=2207,MAX($AA$4:AA2210)+1,""))</f>
        <v/>
      </c>
    </row>
    <row r="2212" spans="1:27">
      <c r="A2212" s="9"/>
      <c r="Z2212">
        <f>TRIM(A2212&amp;"")</f>
        <v/>
      </c>
      <c r="AA2212">
        <f>IF(Z2212="","",IF(MATCH(SUBSTITUTE(SUBSTITUTE(SUBSTITUTE(Z2212,"~","~~"),"*","~*"),"?","~?"),$Z$5:$Z$5004,0)=2208,MAX($AA$4:AA2211)+1,""))</f>
        <v/>
      </c>
    </row>
    <row r="2213" spans="1:27">
      <c r="A2213" s="9"/>
      <c r="Z2213">
        <f>TRIM(A2213&amp;"")</f>
        <v/>
      </c>
      <c r="AA2213">
        <f>IF(Z2213="","",IF(MATCH(SUBSTITUTE(SUBSTITUTE(SUBSTITUTE(Z2213,"~","~~"),"*","~*"),"?","~?"),$Z$5:$Z$5004,0)=2209,MAX($AA$4:AA2212)+1,""))</f>
        <v/>
      </c>
    </row>
    <row r="2214" spans="1:27">
      <c r="A2214" s="9"/>
      <c r="Z2214">
        <f>TRIM(A2214&amp;"")</f>
        <v/>
      </c>
      <c r="AA2214">
        <f>IF(Z2214="","",IF(MATCH(SUBSTITUTE(SUBSTITUTE(SUBSTITUTE(Z2214,"~","~~"),"*","~*"),"?","~?"),$Z$5:$Z$5004,0)=2210,MAX($AA$4:AA2213)+1,""))</f>
        <v/>
      </c>
    </row>
    <row r="2215" spans="1:27">
      <c r="A2215" s="9"/>
      <c r="Z2215">
        <f>TRIM(A2215&amp;"")</f>
        <v/>
      </c>
      <c r="AA2215">
        <f>IF(Z2215="","",IF(MATCH(SUBSTITUTE(SUBSTITUTE(SUBSTITUTE(Z2215,"~","~~"),"*","~*"),"?","~?"),$Z$5:$Z$5004,0)=2211,MAX($AA$4:AA2214)+1,""))</f>
        <v/>
      </c>
    </row>
    <row r="2216" spans="1:27">
      <c r="A2216" s="9"/>
      <c r="Z2216">
        <f>TRIM(A2216&amp;"")</f>
        <v/>
      </c>
      <c r="AA2216">
        <f>IF(Z2216="","",IF(MATCH(SUBSTITUTE(SUBSTITUTE(SUBSTITUTE(Z2216,"~","~~"),"*","~*"),"?","~?"),$Z$5:$Z$5004,0)=2212,MAX($AA$4:AA2215)+1,""))</f>
        <v/>
      </c>
    </row>
    <row r="2217" spans="1:27">
      <c r="A2217" s="9"/>
      <c r="Z2217">
        <f>TRIM(A2217&amp;"")</f>
        <v/>
      </c>
      <c r="AA2217">
        <f>IF(Z2217="","",IF(MATCH(SUBSTITUTE(SUBSTITUTE(SUBSTITUTE(Z2217,"~","~~"),"*","~*"),"?","~?"),$Z$5:$Z$5004,0)=2213,MAX($AA$4:AA2216)+1,""))</f>
        <v/>
      </c>
    </row>
    <row r="2218" spans="1:27">
      <c r="A2218" s="9"/>
      <c r="Z2218">
        <f>TRIM(A2218&amp;"")</f>
        <v/>
      </c>
      <c r="AA2218">
        <f>IF(Z2218="","",IF(MATCH(SUBSTITUTE(SUBSTITUTE(SUBSTITUTE(Z2218,"~","~~"),"*","~*"),"?","~?"),$Z$5:$Z$5004,0)=2214,MAX($AA$4:AA2217)+1,""))</f>
        <v/>
      </c>
    </row>
    <row r="2219" spans="1:27">
      <c r="A2219" s="9"/>
      <c r="Z2219">
        <f>TRIM(A2219&amp;"")</f>
        <v/>
      </c>
      <c r="AA2219">
        <f>IF(Z2219="","",IF(MATCH(SUBSTITUTE(SUBSTITUTE(SUBSTITUTE(Z2219,"~","~~"),"*","~*"),"?","~?"),$Z$5:$Z$5004,0)=2215,MAX($AA$4:AA2218)+1,""))</f>
        <v/>
      </c>
    </row>
    <row r="2220" spans="1:27">
      <c r="A2220" s="9"/>
      <c r="Z2220">
        <f>TRIM(A2220&amp;"")</f>
        <v/>
      </c>
      <c r="AA2220">
        <f>IF(Z2220="","",IF(MATCH(SUBSTITUTE(SUBSTITUTE(SUBSTITUTE(Z2220,"~","~~"),"*","~*"),"?","~?"),$Z$5:$Z$5004,0)=2216,MAX($AA$4:AA2219)+1,""))</f>
        <v/>
      </c>
    </row>
    <row r="2221" spans="1:27">
      <c r="A2221" s="9"/>
      <c r="Z2221">
        <f>TRIM(A2221&amp;"")</f>
        <v/>
      </c>
      <c r="AA2221">
        <f>IF(Z2221="","",IF(MATCH(SUBSTITUTE(SUBSTITUTE(SUBSTITUTE(Z2221,"~","~~"),"*","~*"),"?","~?"),$Z$5:$Z$5004,0)=2217,MAX($AA$4:AA2220)+1,""))</f>
        <v/>
      </c>
    </row>
    <row r="2222" spans="1:27">
      <c r="A2222" s="9"/>
      <c r="Z2222">
        <f>TRIM(A2222&amp;"")</f>
        <v/>
      </c>
      <c r="AA2222">
        <f>IF(Z2222="","",IF(MATCH(SUBSTITUTE(SUBSTITUTE(SUBSTITUTE(Z2222,"~","~~"),"*","~*"),"?","~?"),$Z$5:$Z$5004,0)=2218,MAX($AA$4:AA2221)+1,""))</f>
        <v/>
      </c>
    </row>
    <row r="2223" spans="1:27">
      <c r="A2223" s="9"/>
      <c r="Z2223">
        <f>TRIM(A2223&amp;"")</f>
        <v/>
      </c>
      <c r="AA2223">
        <f>IF(Z2223="","",IF(MATCH(SUBSTITUTE(SUBSTITUTE(SUBSTITUTE(Z2223,"~","~~"),"*","~*"),"?","~?"),$Z$5:$Z$5004,0)=2219,MAX($AA$4:AA2222)+1,""))</f>
        <v/>
      </c>
    </row>
    <row r="2224" spans="1:27">
      <c r="A2224" s="9"/>
      <c r="Z2224">
        <f>TRIM(A2224&amp;"")</f>
        <v/>
      </c>
      <c r="AA2224">
        <f>IF(Z2224="","",IF(MATCH(SUBSTITUTE(SUBSTITUTE(SUBSTITUTE(Z2224,"~","~~"),"*","~*"),"?","~?"),$Z$5:$Z$5004,0)=2220,MAX($AA$4:AA2223)+1,""))</f>
        <v/>
      </c>
    </row>
    <row r="2225" spans="1:27">
      <c r="A2225" s="9"/>
      <c r="Z2225">
        <f>TRIM(A2225&amp;"")</f>
        <v/>
      </c>
      <c r="AA2225">
        <f>IF(Z2225="","",IF(MATCH(SUBSTITUTE(SUBSTITUTE(SUBSTITUTE(Z2225,"~","~~"),"*","~*"),"?","~?"),$Z$5:$Z$5004,0)=2221,MAX($AA$4:AA2224)+1,""))</f>
        <v/>
      </c>
    </row>
    <row r="2226" spans="1:27">
      <c r="A2226" s="9"/>
      <c r="Z2226">
        <f>TRIM(A2226&amp;"")</f>
        <v/>
      </c>
      <c r="AA2226">
        <f>IF(Z2226="","",IF(MATCH(SUBSTITUTE(SUBSTITUTE(SUBSTITUTE(Z2226,"~","~~"),"*","~*"),"?","~?"),$Z$5:$Z$5004,0)=2222,MAX($AA$4:AA2225)+1,""))</f>
        <v/>
      </c>
    </row>
    <row r="2227" spans="1:27">
      <c r="A2227" s="9"/>
      <c r="Z2227">
        <f>TRIM(A2227&amp;"")</f>
        <v/>
      </c>
      <c r="AA2227">
        <f>IF(Z2227="","",IF(MATCH(SUBSTITUTE(SUBSTITUTE(SUBSTITUTE(Z2227,"~","~~"),"*","~*"),"?","~?"),$Z$5:$Z$5004,0)=2223,MAX($AA$4:AA2226)+1,""))</f>
        <v/>
      </c>
    </row>
    <row r="2228" spans="1:27">
      <c r="A2228" s="9"/>
      <c r="Z2228">
        <f>TRIM(A2228&amp;"")</f>
        <v/>
      </c>
      <c r="AA2228">
        <f>IF(Z2228="","",IF(MATCH(SUBSTITUTE(SUBSTITUTE(SUBSTITUTE(Z2228,"~","~~"),"*","~*"),"?","~?"),$Z$5:$Z$5004,0)=2224,MAX($AA$4:AA2227)+1,""))</f>
        <v/>
      </c>
    </row>
    <row r="2229" spans="1:27">
      <c r="A2229" s="9"/>
      <c r="Z2229">
        <f>TRIM(A2229&amp;"")</f>
        <v/>
      </c>
      <c r="AA2229">
        <f>IF(Z2229="","",IF(MATCH(SUBSTITUTE(SUBSTITUTE(SUBSTITUTE(Z2229,"~","~~"),"*","~*"),"?","~?"),$Z$5:$Z$5004,0)=2225,MAX($AA$4:AA2228)+1,""))</f>
        <v/>
      </c>
    </row>
    <row r="2230" spans="1:27">
      <c r="A2230" s="9"/>
      <c r="Z2230">
        <f>TRIM(A2230&amp;"")</f>
        <v/>
      </c>
      <c r="AA2230">
        <f>IF(Z2230="","",IF(MATCH(SUBSTITUTE(SUBSTITUTE(SUBSTITUTE(Z2230,"~","~~"),"*","~*"),"?","~?"),$Z$5:$Z$5004,0)=2226,MAX($AA$4:AA2229)+1,""))</f>
        <v/>
      </c>
    </row>
    <row r="2231" spans="1:27">
      <c r="A2231" s="9"/>
      <c r="Z2231">
        <f>TRIM(A2231&amp;"")</f>
        <v/>
      </c>
      <c r="AA2231">
        <f>IF(Z2231="","",IF(MATCH(SUBSTITUTE(SUBSTITUTE(SUBSTITUTE(Z2231,"~","~~"),"*","~*"),"?","~?"),$Z$5:$Z$5004,0)=2227,MAX($AA$4:AA2230)+1,""))</f>
        <v/>
      </c>
    </row>
    <row r="2232" spans="1:27">
      <c r="A2232" s="9"/>
      <c r="Z2232">
        <f>TRIM(A2232&amp;"")</f>
        <v/>
      </c>
      <c r="AA2232">
        <f>IF(Z2232="","",IF(MATCH(SUBSTITUTE(SUBSTITUTE(SUBSTITUTE(Z2232,"~","~~"),"*","~*"),"?","~?"),$Z$5:$Z$5004,0)=2228,MAX($AA$4:AA2231)+1,""))</f>
        <v/>
      </c>
    </row>
    <row r="2233" spans="1:27">
      <c r="A2233" s="9"/>
      <c r="Z2233">
        <f>TRIM(A2233&amp;"")</f>
        <v/>
      </c>
      <c r="AA2233">
        <f>IF(Z2233="","",IF(MATCH(SUBSTITUTE(SUBSTITUTE(SUBSTITUTE(Z2233,"~","~~"),"*","~*"),"?","~?"),$Z$5:$Z$5004,0)=2229,MAX($AA$4:AA2232)+1,""))</f>
        <v/>
      </c>
    </row>
    <row r="2234" spans="1:27">
      <c r="A2234" s="9"/>
      <c r="Z2234">
        <f>TRIM(A2234&amp;"")</f>
        <v/>
      </c>
      <c r="AA2234">
        <f>IF(Z2234="","",IF(MATCH(SUBSTITUTE(SUBSTITUTE(SUBSTITUTE(Z2234,"~","~~"),"*","~*"),"?","~?"),$Z$5:$Z$5004,0)=2230,MAX($AA$4:AA2233)+1,""))</f>
        <v/>
      </c>
    </row>
    <row r="2235" spans="1:27">
      <c r="A2235" s="9"/>
      <c r="Z2235">
        <f>TRIM(A2235&amp;"")</f>
        <v/>
      </c>
      <c r="AA2235">
        <f>IF(Z2235="","",IF(MATCH(SUBSTITUTE(SUBSTITUTE(SUBSTITUTE(Z2235,"~","~~"),"*","~*"),"?","~?"),$Z$5:$Z$5004,0)=2231,MAX($AA$4:AA2234)+1,""))</f>
        <v/>
      </c>
    </row>
    <row r="2236" spans="1:27">
      <c r="A2236" s="9"/>
      <c r="Z2236">
        <f>TRIM(A2236&amp;"")</f>
        <v/>
      </c>
      <c r="AA2236">
        <f>IF(Z2236="","",IF(MATCH(SUBSTITUTE(SUBSTITUTE(SUBSTITUTE(Z2236,"~","~~"),"*","~*"),"?","~?"),$Z$5:$Z$5004,0)=2232,MAX($AA$4:AA2235)+1,""))</f>
        <v/>
      </c>
    </row>
    <row r="2237" spans="1:27">
      <c r="A2237" s="9"/>
      <c r="Z2237">
        <f>TRIM(A2237&amp;"")</f>
        <v/>
      </c>
      <c r="AA2237">
        <f>IF(Z2237="","",IF(MATCH(SUBSTITUTE(SUBSTITUTE(SUBSTITUTE(Z2237,"~","~~"),"*","~*"),"?","~?"),$Z$5:$Z$5004,0)=2233,MAX($AA$4:AA2236)+1,""))</f>
        <v/>
      </c>
    </row>
    <row r="2238" spans="1:27">
      <c r="A2238" s="9"/>
      <c r="Z2238">
        <f>TRIM(A2238&amp;"")</f>
        <v/>
      </c>
      <c r="AA2238">
        <f>IF(Z2238="","",IF(MATCH(SUBSTITUTE(SUBSTITUTE(SUBSTITUTE(Z2238,"~","~~"),"*","~*"),"?","~?"),$Z$5:$Z$5004,0)=2234,MAX($AA$4:AA2237)+1,""))</f>
        <v/>
      </c>
    </row>
    <row r="2239" spans="1:27">
      <c r="A2239" s="9"/>
      <c r="Z2239">
        <f>TRIM(A2239&amp;"")</f>
        <v/>
      </c>
      <c r="AA2239">
        <f>IF(Z2239="","",IF(MATCH(SUBSTITUTE(SUBSTITUTE(SUBSTITUTE(Z2239,"~","~~"),"*","~*"),"?","~?"),$Z$5:$Z$5004,0)=2235,MAX($AA$4:AA2238)+1,""))</f>
        <v/>
      </c>
    </row>
    <row r="2240" spans="1:27">
      <c r="A2240" s="9"/>
      <c r="Z2240">
        <f>TRIM(A2240&amp;"")</f>
        <v/>
      </c>
      <c r="AA2240">
        <f>IF(Z2240="","",IF(MATCH(SUBSTITUTE(SUBSTITUTE(SUBSTITUTE(Z2240,"~","~~"),"*","~*"),"?","~?"),$Z$5:$Z$5004,0)=2236,MAX($AA$4:AA2239)+1,""))</f>
        <v/>
      </c>
    </row>
    <row r="2241" spans="1:27">
      <c r="A2241" s="9"/>
      <c r="Z2241">
        <f>TRIM(A2241&amp;"")</f>
        <v/>
      </c>
      <c r="AA2241">
        <f>IF(Z2241="","",IF(MATCH(SUBSTITUTE(SUBSTITUTE(SUBSTITUTE(Z2241,"~","~~"),"*","~*"),"?","~?"),$Z$5:$Z$5004,0)=2237,MAX($AA$4:AA2240)+1,""))</f>
        <v/>
      </c>
    </row>
    <row r="2242" spans="1:27">
      <c r="A2242" s="9"/>
      <c r="Z2242">
        <f>TRIM(A2242&amp;"")</f>
        <v/>
      </c>
      <c r="AA2242">
        <f>IF(Z2242="","",IF(MATCH(SUBSTITUTE(SUBSTITUTE(SUBSTITUTE(Z2242,"~","~~"),"*","~*"),"?","~?"),$Z$5:$Z$5004,0)=2238,MAX($AA$4:AA2241)+1,""))</f>
        <v/>
      </c>
    </row>
    <row r="2243" spans="1:27">
      <c r="A2243" s="9"/>
      <c r="Z2243">
        <f>TRIM(A2243&amp;"")</f>
        <v/>
      </c>
      <c r="AA2243">
        <f>IF(Z2243="","",IF(MATCH(SUBSTITUTE(SUBSTITUTE(SUBSTITUTE(Z2243,"~","~~"),"*","~*"),"?","~?"),$Z$5:$Z$5004,0)=2239,MAX($AA$4:AA2242)+1,""))</f>
        <v/>
      </c>
    </row>
    <row r="2244" spans="1:27">
      <c r="A2244" s="9"/>
      <c r="Z2244">
        <f>TRIM(A2244&amp;"")</f>
        <v/>
      </c>
      <c r="AA2244">
        <f>IF(Z2244="","",IF(MATCH(SUBSTITUTE(SUBSTITUTE(SUBSTITUTE(Z2244,"~","~~"),"*","~*"),"?","~?"),$Z$5:$Z$5004,0)=2240,MAX($AA$4:AA2243)+1,""))</f>
        <v/>
      </c>
    </row>
    <row r="2245" spans="1:27">
      <c r="A2245" s="9"/>
      <c r="Z2245">
        <f>TRIM(A2245&amp;"")</f>
        <v/>
      </c>
      <c r="AA2245">
        <f>IF(Z2245="","",IF(MATCH(SUBSTITUTE(SUBSTITUTE(SUBSTITUTE(Z2245,"~","~~"),"*","~*"),"?","~?"),$Z$5:$Z$5004,0)=2241,MAX($AA$4:AA2244)+1,""))</f>
        <v/>
      </c>
    </row>
    <row r="2246" spans="1:27">
      <c r="A2246" s="9"/>
      <c r="Z2246">
        <f>TRIM(A2246&amp;"")</f>
        <v/>
      </c>
      <c r="AA2246">
        <f>IF(Z2246="","",IF(MATCH(SUBSTITUTE(SUBSTITUTE(SUBSTITUTE(Z2246,"~","~~"),"*","~*"),"?","~?"),$Z$5:$Z$5004,0)=2242,MAX($AA$4:AA2245)+1,""))</f>
        <v/>
      </c>
    </row>
    <row r="2247" spans="1:27">
      <c r="A2247" s="9"/>
      <c r="Z2247">
        <f>TRIM(A2247&amp;"")</f>
        <v/>
      </c>
      <c r="AA2247">
        <f>IF(Z2247="","",IF(MATCH(SUBSTITUTE(SUBSTITUTE(SUBSTITUTE(Z2247,"~","~~"),"*","~*"),"?","~?"),$Z$5:$Z$5004,0)=2243,MAX($AA$4:AA2246)+1,""))</f>
        <v/>
      </c>
    </row>
    <row r="2248" spans="1:27">
      <c r="A2248" s="9"/>
      <c r="Z2248">
        <f>TRIM(A2248&amp;"")</f>
        <v/>
      </c>
      <c r="AA2248">
        <f>IF(Z2248="","",IF(MATCH(SUBSTITUTE(SUBSTITUTE(SUBSTITUTE(Z2248,"~","~~"),"*","~*"),"?","~?"),$Z$5:$Z$5004,0)=2244,MAX($AA$4:AA2247)+1,""))</f>
        <v/>
      </c>
    </row>
    <row r="2249" spans="1:27">
      <c r="A2249" s="9"/>
      <c r="Z2249">
        <f>TRIM(A2249&amp;"")</f>
        <v/>
      </c>
      <c r="AA2249">
        <f>IF(Z2249="","",IF(MATCH(SUBSTITUTE(SUBSTITUTE(SUBSTITUTE(Z2249,"~","~~"),"*","~*"),"?","~?"),$Z$5:$Z$5004,0)=2245,MAX($AA$4:AA2248)+1,""))</f>
        <v/>
      </c>
    </row>
    <row r="2250" spans="1:27">
      <c r="A2250" s="9"/>
      <c r="Z2250">
        <f>TRIM(A2250&amp;"")</f>
        <v/>
      </c>
      <c r="AA2250">
        <f>IF(Z2250="","",IF(MATCH(SUBSTITUTE(SUBSTITUTE(SUBSTITUTE(Z2250,"~","~~"),"*","~*"),"?","~?"),$Z$5:$Z$5004,0)=2246,MAX($AA$4:AA2249)+1,""))</f>
        <v/>
      </c>
    </row>
    <row r="2251" spans="1:27">
      <c r="A2251" s="9"/>
      <c r="Z2251">
        <f>TRIM(A2251&amp;"")</f>
        <v/>
      </c>
      <c r="AA2251">
        <f>IF(Z2251="","",IF(MATCH(SUBSTITUTE(SUBSTITUTE(SUBSTITUTE(Z2251,"~","~~"),"*","~*"),"?","~?"),$Z$5:$Z$5004,0)=2247,MAX($AA$4:AA2250)+1,""))</f>
        <v/>
      </c>
    </row>
    <row r="2252" spans="1:27">
      <c r="A2252" s="9"/>
      <c r="Z2252">
        <f>TRIM(A2252&amp;"")</f>
        <v/>
      </c>
      <c r="AA2252">
        <f>IF(Z2252="","",IF(MATCH(SUBSTITUTE(SUBSTITUTE(SUBSTITUTE(Z2252,"~","~~"),"*","~*"),"?","~?"),$Z$5:$Z$5004,0)=2248,MAX($AA$4:AA2251)+1,""))</f>
        <v/>
      </c>
    </row>
    <row r="2253" spans="1:27">
      <c r="A2253" s="9"/>
      <c r="Z2253">
        <f>TRIM(A2253&amp;"")</f>
        <v/>
      </c>
      <c r="AA2253">
        <f>IF(Z2253="","",IF(MATCH(SUBSTITUTE(SUBSTITUTE(SUBSTITUTE(Z2253,"~","~~"),"*","~*"),"?","~?"),$Z$5:$Z$5004,0)=2249,MAX($AA$4:AA2252)+1,""))</f>
        <v/>
      </c>
    </row>
    <row r="2254" spans="1:27">
      <c r="A2254" s="9"/>
      <c r="Z2254">
        <f>TRIM(A2254&amp;"")</f>
        <v/>
      </c>
      <c r="AA2254">
        <f>IF(Z2254="","",IF(MATCH(SUBSTITUTE(SUBSTITUTE(SUBSTITUTE(Z2254,"~","~~"),"*","~*"),"?","~?"),$Z$5:$Z$5004,0)=2250,MAX($AA$4:AA2253)+1,""))</f>
        <v/>
      </c>
    </row>
    <row r="2255" spans="1:27">
      <c r="A2255" s="9"/>
      <c r="Z2255">
        <f>TRIM(A2255&amp;"")</f>
        <v/>
      </c>
      <c r="AA2255">
        <f>IF(Z2255="","",IF(MATCH(SUBSTITUTE(SUBSTITUTE(SUBSTITUTE(Z2255,"~","~~"),"*","~*"),"?","~?"),$Z$5:$Z$5004,0)=2251,MAX($AA$4:AA2254)+1,""))</f>
        <v/>
      </c>
    </row>
    <row r="2256" spans="1:27">
      <c r="A2256" s="9"/>
      <c r="Z2256">
        <f>TRIM(A2256&amp;"")</f>
        <v/>
      </c>
      <c r="AA2256">
        <f>IF(Z2256="","",IF(MATCH(SUBSTITUTE(SUBSTITUTE(SUBSTITUTE(Z2256,"~","~~"),"*","~*"),"?","~?"),$Z$5:$Z$5004,0)=2252,MAX($AA$4:AA2255)+1,""))</f>
        <v/>
      </c>
    </row>
    <row r="2257" spans="1:27">
      <c r="A2257" s="9"/>
      <c r="Z2257">
        <f>TRIM(A2257&amp;"")</f>
        <v/>
      </c>
      <c r="AA2257">
        <f>IF(Z2257="","",IF(MATCH(SUBSTITUTE(SUBSTITUTE(SUBSTITUTE(Z2257,"~","~~"),"*","~*"),"?","~?"),$Z$5:$Z$5004,0)=2253,MAX($AA$4:AA2256)+1,""))</f>
        <v/>
      </c>
    </row>
    <row r="2258" spans="1:27">
      <c r="A2258" s="9"/>
      <c r="Z2258">
        <f>TRIM(A2258&amp;"")</f>
        <v/>
      </c>
      <c r="AA2258">
        <f>IF(Z2258="","",IF(MATCH(SUBSTITUTE(SUBSTITUTE(SUBSTITUTE(Z2258,"~","~~"),"*","~*"),"?","~?"),$Z$5:$Z$5004,0)=2254,MAX($AA$4:AA2257)+1,""))</f>
        <v/>
      </c>
    </row>
    <row r="2259" spans="1:27">
      <c r="A2259" s="9"/>
      <c r="Z2259">
        <f>TRIM(A2259&amp;"")</f>
        <v/>
      </c>
      <c r="AA2259">
        <f>IF(Z2259="","",IF(MATCH(SUBSTITUTE(SUBSTITUTE(SUBSTITUTE(Z2259,"~","~~"),"*","~*"),"?","~?"),$Z$5:$Z$5004,0)=2255,MAX($AA$4:AA2258)+1,""))</f>
        <v/>
      </c>
    </row>
    <row r="2260" spans="1:27">
      <c r="A2260" s="9"/>
      <c r="Z2260">
        <f>TRIM(A2260&amp;"")</f>
        <v/>
      </c>
      <c r="AA2260">
        <f>IF(Z2260="","",IF(MATCH(SUBSTITUTE(SUBSTITUTE(SUBSTITUTE(Z2260,"~","~~"),"*","~*"),"?","~?"),$Z$5:$Z$5004,0)=2256,MAX($AA$4:AA2259)+1,""))</f>
        <v/>
      </c>
    </row>
    <row r="2261" spans="1:27">
      <c r="A2261" s="9"/>
      <c r="Z2261">
        <f>TRIM(A2261&amp;"")</f>
        <v/>
      </c>
      <c r="AA2261">
        <f>IF(Z2261="","",IF(MATCH(SUBSTITUTE(SUBSTITUTE(SUBSTITUTE(Z2261,"~","~~"),"*","~*"),"?","~?"),$Z$5:$Z$5004,0)=2257,MAX($AA$4:AA2260)+1,""))</f>
        <v/>
      </c>
    </row>
    <row r="2262" spans="1:27">
      <c r="A2262" s="9"/>
      <c r="Z2262">
        <f>TRIM(A2262&amp;"")</f>
        <v/>
      </c>
      <c r="AA2262">
        <f>IF(Z2262="","",IF(MATCH(SUBSTITUTE(SUBSTITUTE(SUBSTITUTE(Z2262,"~","~~"),"*","~*"),"?","~?"),$Z$5:$Z$5004,0)=2258,MAX($AA$4:AA2261)+1,""))</f>
        <v/>
      </c>
    </row>
    <row r="2263" spans="1:27">
      <c r="A2263" s="9"/>
      <c r="Z2263">
        <f>TRIM(A2263&amp;"")</f>
        <v/>
      </c>
      <c r="AA2263">
        <f>IF(Z2263="","",IF(MATCH(SUBSTITUTE(SUBSTITUTE(SUBSTITUTE(Z2263,"~","~~"),"*","~*"),"?","~?"),$Z$5:$Z$5004,0)=2259,MAX($AA$4:AA2262)+1,""))</f>
        <v/>
      </c>
    </row>
    <row r="2264" spans="1:27">
      <c r="A2264" s="9"/>
      <c r="Z2264">
        <f>TRIM(A2264&amp;"")</f>
        <v/>
      </c>
      <c r="AA2264">
        <f>IF(Z2264="","",IF(MATCH(SUBSTITUTE(SUBSTITUTE(SUBSTITUTE(Z2264,"~","~~"),"*","~*"),"?","~?"),$Z$5:$Z$5004,0)=2260,MAX($AA$4:AA2263)+1,""))</f>
        <v/>
      </c>
    </row>
    <row r="2265" spans="1:27">
      <c r="A2265" s="9"/>
      <c r="Z2265">
        <f>TRIM(A2265&amp;"")</f>
        <v/>
      </c>
      <c r="AA2265">
        <f>IF(Z2265="","",IF(MATCH(SUBSTITUTE(SUBSTITUTE(SUBSTITUTE(Z2265,"~","~~"),"*","~*"),"?","~?"),$Z$5:$Z$5004,0)=2261,MAX($AA$4:AA2264)+1,""))</f>
        <v/>
      </c>
    </row>
    <row r="2266" spans="1:27">
      <c r="A2266" s="9"/>
      <c r="Z2266">
        <f>TRIM(A2266&amp;"")</f>
        <v/>
      </c>
      <c r="AA2266">
        <f>IF(Z2266="","",IF(MATCH(SUBSTITUTE(SUBSTITUTE(SUBSTITUTE(Z2266,"~","~~"),"*","~*"),"?","~?"),$Z$5:$Z$5004,0)=2262,MAX($AA$4:AA2265)+1,""))</f>
        <v/>
      </c>
    </row>
    <row r="2267" spans="1:27">
      <c r="A2267" s="9"/>
      <c r="Z2267">
        <f>TRIM(A2267&amp;"")</f>
        <v/>
      </c>
      <c r="AA2267">
        <f>IF(Z2267="","",IF(MATCH(SUBSTITUTE(SUBSTITUTE(SUBSTITUTE(Z2267,"~","~~"),"*","~*"),"?","~?"),$Z$5:$Z$5004,0)=2263,MAX($AA$4:AA2266)+1,""))</f>
        <v/>
      </c>
    </row>
    <row r="2268" spans="1:27">
      <c r="A2268" s="9"/>
      <c r="Z2268">
        <f>TRIM(A2268&amp;"")</f>
        <v/>
      </c>
      <c r="AA2268">
        <f>IF(Z2268="","",IF(MATCH(SUBSTITUTE(SUBSTITUTE(SUBSTITUTE(Z2268,"~","~~"),"*","~*"),"?","~?"),$Z$5:$Z$5004,0)=2264,MAX($AA$4:AA2267)+1,""))</f>
        <v/>
      </c>
    </row>
    <row r="2269" spans="1:27">
      <c r="A2269" s="9"/>
      <c r="Z2269">
        <f>TRIM(A2269&amp;"")</f>
        <v/>
      </c>
      <c r="AA2269">
        <f>IF(Z2269="","",IF(MATCH(SUBSTITUTE(SUBSTITUTE(SUBSTITUTE(Z2269,"~","~~"),"*","~*"),"?","~?"),$Z$5:$Z$5004,0)=2265,MAX($AA$4:AA2268)+1,""))</f>
        <v/>
      </c>
    </row>
    <row r="2270" spans="1:27">
      <c r="A2270" s="9"/>
      <c r="Z2270">
        <f>TRIM(A2270&amp;"")</f>
        <v/>
      </c>
      <c r="AA2270">
        <f>IF(Z2270="","",IF(MATCH(SUBSTITUTE(SUBSTITUTE(SUBSTITUTE(Z2270,"~","~~"),"*","~*"),"?","~?"),$Z$5:$Z$5004,0)=2266,MAX($AA$4:AA2269)+1,""))</f>
        <v/>
      </c>
    </row>
    <row r="2271" spans="1:27">
      <c r="A2271" s="9"/>
      <c r="Z2271">
        <f>TRIM(A2271&amp;"")</f>
        <v/>
      </c>
      <c r="AA2271">
        <f>IF(Z2271="","",IF(MATCH(SUBSTITUTE(SUBSTITUTE(SUBSTITUTE(Z2271,"~","~~"),"*","~*"),"?","~?"),$Z$5:$Z$5004,0)=2267,MAX($AA$4:AA2270)+1,""))</f>
        <v/>
      </c>
    </row>
    <row r="2272" spans="1:27">
      <c r="A2272" s="9"/>
      <c r="Z2272">
        <f>TRIM(A2272&amp;"")</f>
        <v/>
      </c>
      <c r="AA2272">
        <f>IF(Z2272="","",IF(MATCH(SUBSTITUTE(SUBSTITUTE(SUBSTITUTE(Z2272,"~","~~"),"*","~*"),"?","~?"),$Z$5:$Z$5004,0)=2268,MAX($AA$4:AA2271)+1,""))</f>
        <v/>
      </c>
    </row>
    <row r="2273" spans="1:27">
      <c r="A2273" s="9"/>
      <c r="Z2273">
        <f>TRIM(A2273&amp;"")</f>
        <v/>
      </c>
      <c r="AA2273">
        <f>IF(Z2273="","",IF(MATCH(SUBSTITUTE(SUBSTITUTE(SUBSTITUTE(Z2273,"~","~~"),"*","~*"),"?","~?"),$Z$5:$Z$5004,0)=2269,MAX($AA$4:AA2272)+1,""))</f>
        <v/>
      </c>
    </row>
    <row r="2274" spans="1:27">
      <c r="A2274" s="9"/>
      <c r="Z2274">
        <f>TRIM(A2274&amp;"")</f>
        <v/>
      </c>
      <c r="AA2274">
        <f>IF(Z2274="","",IF(MATCH(SUBSTITUTE(SUBSTITUTE(SUBSTITUTE(Z2274,"~","~~"),"*","~*"),"?","~?"),$Z$5:$Z$5004,0)=2270,MAX($AA$4:AA2273)+1,""))</f>
        <v/>
      </c>
    </row>
    <row r="2275" spans="1:27">
      <c r="A2275" s="9"/>
      <c r="Z2275">
        <f>TRIM(A2275&amp;"")</f>
        <v/>
      </c>
      <c r="AA2275">
        <f>IF(Z2275="","",IF(MATCH(SUBSTITUTE(SUBSTITUTE(SUBSTITUTE(Z2275,"~","~~"),"*","~*"),"?","~?"),$Z$5:$Z$5004,0)=2271,MAX($AA$4:AA2274)+1,""))</f>
        <v/>
      </c>
    </row>
    <row r="2276" spans="1:27">
      <c r="A2276" s="9"/>
      <c r="Z2276">
        <f>TRIM(A2276&amp;"")</f>
        <v/>
      </c>
      <c r="AA2276">
        <f>IF(Z2276="","",IF(MATCH(SUBSTITUTE(SUBSTITUTE(SUBSTITUTE(Z2276,"~","~~"),"*","~*"),"?","~?"),$Z$5:$Z$5004,0)=2272,MAX($AA$4:AA2275)+1,""))</f>
        <v/>
      </c>
    </row>
    <row r="2277" spans="1:27">
      <c r="A2277" s="9"/>
      <c r="Z2277">
        <f>TRIM(A2277&amp;"")</f>
        <v/>
      </c>
      <c r="AA2277">
        <f>IF(Z2277="","",IF(MATCH(SUBSTITUTE(SUBSTITUTE(SUBSTITUTE(Z2277,"~","~~"),"*","~*"),"?","~?"),$Z$5:$Z$5004,0)=2273,MAX($AA$4:AA2276)+1,""))</f>
        <v/>
      </c>
    </row>
    <row r="2278" spans="1:27">
      <c r="A2278" s="9"/>
      <c r="Z2278">
        <f>TRIM(A2278&amp;"")</f>
        <v/>
      </c>
      <c r="AA2278">
        <f>IF(Z2278="","",IF(MATCH(SUBSTITUTE(SUBSTITUTE(SUBSTITUTE(Z2278,"~","~~"),"*","~*"),"?","~?"),$Z$5:$Z$5004,0)=2274,MAX($AA$4:AA2277)+1,""))</f>
        <v/>
      </c>
    </row>
    <row r="2279" spans="1:27">
      <c r="A2279" s="9"/>
      <c r="Z2279">
        <f>TRIM(A2279&amp;"")</f>
        <v/>
      </c>
      <c r="AA2279">
        <f>IF(Z2279="","",IF(MATCH(SUBSTITUTE(SUBSTITUTE(SUBSTITUTE(Z2279,"~","~~"),"*","~*"),"?","~?"),$Z$5:$Z$5004,0)=2275,MAX($AA$4:AA2278)+1,""))</f>
        <v/>
      </c>
    </row>
    <row r="2280" spans="1:27">
      <c r="A2280" s="9"/>
      <c r="Z2280">
        <f>TRIM(A2280&amp;"")</f>
        <v/>
      </c>
      <c r="AA2280">
        <f>IF(Z2280="","",IF(MATCH(SUBSTITUTE(SUBSTITUTE(SUBSTITUTE(Z2280,"~","~~"),"*","~*"),"?","~?"),$Z$5:$Z$5004,0)=2276,MAX($AA$4:AA2279)+1,""))</f>
        <v/>
      </c>
    </row>
    <row r="2281" spans="1:27">
      <c r="A2281" s="9"/>
      <c r="Z2281">
        <f>TRIM(A2281&amp;"")</f>
        <v/>
      </c>
      <c r="AA2281">
        <f>IF(Z2281="","",IF(MATCH(SUBSTITUTE(SUBSTITUTE(SUBSTITUTE(Z2281,"~","~~"),"*","~*"),"?","~?"),$Z$5:$Z$5004,0)=2277,MAX($AA$4:AA2280)+1,""))</f>
        <v/>
      </c>
    </row>
    <row r="2282" spans="1:27">
      <c r="A2282" s="9"/>
      <c r="Z2282">
        <f>TRIM(A2282&amp;"")</f>
        <v/>
      </c>
      <c r="AA2282">
        <f>IF(Z2282="","",IF(MATCH(SUBSTITUTE(SUBSTITUTE(SUBSTITUTE(Z2282,"~","~~"),"*","~*"),"?","~?"),$Z$5:$Z$5004,0)=2278,MAX($AA$4:AA2281)+1,""))</f>
        <v/>
      </c>
    </row>
    <row r="2283" spans="1:27">
      <c r="A2283" s="9"/>
      <c r="Z2283">
        <f>TRIM(A2283&amp;"")</f>
        <v/>
      </c>
      <c r="AA2283">
        <f>IF(Z2283="","",IF(MATCH(SUBSTITUTE(SUBSTITUTE(SUBSTITUTE(Z2283,"~","~~"),"*","~*"),"?","~?"),$Z$5:$Z$5004,0)=2279,MAX($AA$4:AA2282)+1,""))</f>
        <v/>
      </c>
    </row>
    <row r="2284" spans="1:27">
      <c r="A2284" s="9"/>
      <c r="Z2284">
        <f>TRIM(A2284&amp;"")</f>
        <v/>
      </c>
      <c r="AA2284">
        <f>IF(Z2284="","",IF(MATCH(SUBSTITUTE(SUBSTITUTE(SUBSTITUTE(Z2284,"~","~~"),"*","~*"),"?","~?"),$Z$5:$Z$5004,0)=2280,MAX($AA$4:AA2283)+1,""))</f>
        <v/>
      </c>
    </row>
    <row r="2285" spans="1:27">
      <c r="A2285" s="9"/>
      <c r="Z2285">
        <f>TRIM(A2285&amp;"")</f>
        <v/>
      </c>
      <c r="AA2285">
        <f>IF(Z2285="","",IF(MATCH(SUBSTITUTE(SUBSTITUTE(SUBSTITUTE(Z2285,"~","~~"),"*","~*"),"?","~?"),$Z$5:$Z$5004,0)=2281,MAX($AA$4:AA2284)+1,""))</f>
        <v/>
      </c>
    </row>
    <row r="2286" spans="1:27">
      <c r="A2286" s="9"/>
      <c r="Z2286">
        <f>TRIM(A2286&amp;"")</f>
        <v/>
      </c>
      <c r="AA2286">
        <f>IF(Z2286="","",IF(MATCH(SUBSTITUTE(SUBSTITUTE(SUBSTITUTE(Z2286,"~","~~"),"*","~*"),"?","~?"),$Z$5:$Z$5004,0)=2282,MAX($AA$4:AA2285)+1,""))</f>
        <v/>
      </c>
    </row>
    <row r="2287" spans="1:27">
      <c r="A2287" s="9"/>
      <c r="Z2287">
        <f>TRIM(A2287&amp;"")</f>
        <v/>
      </c>
      <c r="AA2287">
        <f>IF(Z2287="","",IF(MATCH(SUBSTITUTE(SUBSTITUTE(SUBSTITUTE(Z2287,"~","~~"),"*","~*"),"?","~?"),$Z$5:$Z$5004,0)=2283,MAX($AA$4:AA2286)+1,""))</f>
        <v/>
      </c>
    </row>
    <row r="2288" spans="1:27">
      <c r="A2288" s="9"/>
      <c r="Z2288">
        <f>TRIM(A2288&amp;"")</f>
        <v/>
      </c>
      <c r="AA2288">
        <f>IF(Z2288="","",IF(MATCH(SUBSTITUTE(SUBSTITUTE(SUBSTITUTE(Z2288,"~","~~"),"*","~*"),"?","~?"),$Z$5:$Z$5004,0)=2284,MAX($AA$4:AA2287)+1,""))</f>
        <v/>
      </c>
    </row>
    <row r="2289" spans="1:27">
      <c r="A2289" s="9"/>
      <c r="Z2289">
        <f>TRIM(A2289&amp;"")</f>
        <v/>
      </c>
      <c r="AA2289">
        <f>IF(Z2289="","",IF(MATCH(SUBSTITUTE(SUBSTITUTE(SUBSTITUTE(Z2289,"~","~~"),"*","~*"),"?","~?"),$Z$5:$Z$5004,0)=2285,MAX($AA$4:AA2288)+1,""))</f>
        <v/>
      </c>
    </row>
    <row r="2290" spans="1:27">
      <c r="A2290" s="9"/>
      <c r="Z2290">
        <f>TRIM(A2290&amp;"")</f>
        <v/>
      </c>
      <c r="AA2290">
        <f>IF(Z2290="","",IF(MATCH(SUBSTITUTE(SUBSTITUTE(SUBSTITUTE(Z2290,"~","~~"),"*","~*"),"?","~?"),$Z$5:$Z$5004,0)=2286,MAX($AA$4:AA2289)+1,""))</f>
        <v/>
      </c>
    </row>
    <row r="2291" spans="1:27">
      <c r="A2291" s="9"/>
      <c r="Z2291">
        <f>TRIM(A2291&amp;"")</f>
        <v/>
      </c>
      <c r="AA2291">
        <f>IF(Z2291="","",IF(MATCH(SUBSTITUTE(SUBSTITUTE(SUBSTITUTE(Z2291,"~","~~"),"*","~*"),"?","~?"),$Z$5:$Z$5004,0)=2287,MAX($AA$4:AA2290)+1,""))</f>
        <v/>
      </c>
    </row>
    <row r="2292" spans="1:27">
      <c r="A2292" s="9"/>
      <c r="Z2292">
        <f>TRIM(A2292&amp;"")</f>
        <v/>
      </c>
      <c r="AA2292">
        <f>IF(Z2292="","",IF(MATCH(SUBSTITUTE(SUBSTITUTE(SUBSTITUTE(Z2292,"~","~~"),"*","~*"),"?","~?"),$Z$5:$Z$5004,0)=2288,MAX($AA$4:AA2291)+1,""))</f>
        <v/>
      </c>
    </row>
    <row r="2293" spans="1:27">
      <c r="A2293" s="9"/>
      <c r="Z2293">
        <f>TRIM(A2293&amp;"")</f>
        <v/>
      </c>
      <c r="AA2293">
        <f>IF(Z2293="","",IF(MATCH(SUBSTITUTE(SUBSTITUTE(SUBSTITUTE(Z2293,"~","~~"),"*","~*"),"?","~?"),$Z$5:$Z$5004,0)=2289,MAX($AA$4:AA2292)+1,""))</f>
        <v/>
      </c>
    </row>
    <row r="2294" spans="1:27">
      <c r="A2294" s="9"/>
      <c r="Z2294">
        <f>TRIM(A2294&amp;"")</f>
        <v/>
      </c>
      <c r="AA2294">
        <f>IF(Z2294="","",IF(MATCH(SUBSTITUTE(SUBSTITUTE(SUBSTITUTE(Z2294,"~","~~"),"*","~*"),"?","~?"),$Z$5:$Z$5004,0)=2290,MAX($AA$4:AA2293)+1,""))</f>
        <v/>
      </c>
    </row>
    <row r="2295" spans="1:27">
      <c r="A2295" s="9"/>
      <c r="Z2295">
        <f>TRIM(A2295&amp;"")</f>
        <v/>
      </c>
      <c r="AA2295">
        <f>IF(Z2295="","",IF(MATCH(SUBSTITUTE(SUBSTITUTE(SUBSTITUTE(Z2295,"~","~~"),"*","~*"),"?","~?"),$Z$5:$Z$5004,0)=2291,MAX($AA$4:AA2294)+1,""))</f>
        <v/>
      </c>
    </row>
    <row r="2296" spans="1:27">
      <c r="A2296" s="9"/>
      <c r="Z2296">
        <f>TRIM(A2296&amp;"")</f>
        <v/>
      </c>
      <c r="AA2296">
        <f>IF(Z2296="","",IF(MATCH(SUBSTITUTE(SUBSTITUTE(SUBSTITUTE(Z2296,"~","~~"),"*","~*"),"?","~?"),$Z$5:$Z$5004,0)=2292,MAX($AA$4:AA2295)+1,""))</f>
        <v/>
      </c>
    </row>
    <row r="2297" spans="1:27">
      <c r="A2297" s="9"/>
      <c r="Z2297">
        <f>TRIM(A2297&amp;"")</f>
        <v/>
      </c>
      <c r="AA2297">
        <f>IF(Z2297="","",IF(MATCH(SUBSTITUTE(SUBSTITUTE(SUBSTITUTE(Z2297,"~","~~"),"*","~*"),"?","~?"),$Z$5:$Z$5004,0)=2293,MAX($AA$4:AA2296)+1,""))</f>
        <v/>
      </c>
    </row>
    <row r="2298" spans="1:27">
      <c r="A2298" s="9"/>
      <c r="Z2298">
        <f>TRIM(A2298&amp;"")</f>
        <v/>
      </c>
      <c r="AA2298">
        <f>IF(Z2298="","",IF(MATCH(SUBSTITUTE(SUBSTITUTE(SUBSTITUTE(Z2298,"~","~~"),"*","~*"),"?","~?"),$Z$5:$Z$5004,0)=2294,MAX($AA$4:AA2297)+1,""))</f>
        <v/>
      </c>
    </row>
    <row r="2299" spans="1:27">
      <c r="A2299" s="9"/>
      <c r="Z2299">
        <f>TRIM(A2299&amp;"")</f>
        <v/>
      </c>
      <c r="AA2299">
        <f>IF(Z2299="","",IF(MATCH(SUBSTITUTE(SUBSTITUTE(SUBSTITUTE(Z2299,"~","~~"),"*","~*"),"?","~?"),$Z$5:$Z$5004,0)=2295,MAX($AA$4:AA2298)+1,""))</f>
        <v/>
      </c>
    </row>
    <row r="2300" spans="1:27">
      <c r="A2300" s="9"/>
      <c r="Z2300">
        <f>TRIM(A2300&amp;"")</f>
        <v/>
      </c>
      <c r="AA2300">
        <f>IF(Z2300="","",IF(MATCH(SUBSTITUTE(SUBSTITUTE(SUBSTITUTE(Z2300,"~","~~"),"*","~*"),"?","~?"),$Z$5:$Z$5004,0)=2296,MAX($AA$4:AA2299)+1,""))</f>
        <v/>
      </c>
    </row>
    <row r="2301" spans="1:27">
      <c r="A2301" s="9"/>
      <c r="Z2301">
        <f>TRIM(A2301&amp;"")</f>
        <v/>
      </c>
      <c r="AA2301">
        <f>IF(Z2301="","",IF(MATCH(SUBSTITUTE(SUBSTITUTE(SUBSTITUTE(Z2301,"~","~~"),"*","~*"),"?","~?"),$Z$5:$Z$5004,0)=2297,MAX($AA$4:AA2300)+1,""))</f>
        <v/>
      </c>
    </row>
    <row r="2302" spans="1:27">
      <c r="A2302" s="9"/>
      <c r="Z2302">
        <f>TRIM(A2302&amp;"")</f>
        <v/>
      </c>
      <c r="AA2302">
        <f>IF(Z2302="","",IF(MATCH(SUBSTITUTE(SUBSTITUTE(SUBSTITUTE(Z2302,"~","~~"),"*","~*"),"?","~?"),$Z$5:$Z$5004,0)=2298,MAX($AA$4:AA2301)+1,""))</f>
        <v/>
      </c>
    </row>
    <row r="2303" spans="1:27">
      <c r="A2303" s="9"/>
      <c r="Z2303">
        <f>TRIM(A2303&amp;"")</f>
        <v/>
      </c>
      <c r="AA2303">
        <f>IF(Z2303="","",IF(MATCH(SUBSTITUTE(SUBSTITUTE(SUBSTITUTE(Z2303,"~","~~"),"*","~*"),"?","~?"),$Z$5:$Z$5004,0)=2299,MAX($AA$4:AA2302)+1,""))</f>
        <v/>
      </c>
    </row>
    <row r="2304" spans="1:27">
      <c r="A2304" s="9"/>
      <c r="Z2304">
        <f>TRIM(A2304&amp;"")</f>
        <v/>
      </c>
      <c r="AA2304">
        <f>IF(Z2304="","",IF(MATCH(SUBSTITUTE(SUBSTITUTE(SUBSTITUTE(Z2304,"~","~~"),"*","~*"),"?","~?"),$Z$5:$Z$5004,0)=2300,MAX($AA$4:AA2303)+1,""))</f>
        <v/>
      </c>
    </row>
    <row r="2305" spans="1:27">
      <c r="A2305" s="9"/>
      <c r="Z2305">
        <f>TRIM(A2305&amp;"")</f>
        <v/>
      </c>
      <c r="AA2305">
        <f>IF(Z2305="","",IF(MATCH(SUBSTITUTE(SUBSTITUTE(SUBSTITUTE(Z2305,"~","~~"),"*","~*"),"?","~?"),$Z$5:$Z$5004,0)=2301,MAX($AA$4:AA2304)+1,""))</f>
        <v/>
      </c>
    </row>
    <row r="2306" spans="1:27">
      <c r="A2306" s="9"/>
      <c r="Z2306">
        <f>TRIM(A2306&amp;"")</f>
        <v/>
      </c>
      <c r="AA2306">
        <f>IF(Z2306="","",IF(MATCH(SUBSTITUTE(SUBSTITUTE(SUBSTITUTE(Z2306,"~","~~"),"*","~*"),"?","~?"),$Z$5:$Z$5004,0)=2302,MAX($AA$4:AA2305)+1,""))</f>
        <v/>
      </c>
    </row>
    <row r="2307" spans="1:27">
      <c r="A2307" s="9"/>
      <c r="Z2307">
        <f>TRIM(A2307&amp;"")</f>
        <v/>
      </c>
      <c r="AA2307">
        <f>IF(Z2307="","",IF(MATCH(SUBSTITUTE(SUBSTITUTE(SUBSTITUTE(Z2307,"~","~~"),"*","~*"),"?","~?"),$Z$5:$Z$5004,0)=2303,MAX($AA$4:AA2306)+1,""))</f>
        <v/>
      </c>
    </row>
    <row r="2308" spans="1:27">
      <c r="A2308" s="9"/>
      <c r="Z2308">
        <f>TRIM(A2308&amp;"")</f>
        <v/>
      </c>
      <c r="AA2308">
        <f>IF(Z2308="","",IF(MATCH(SUBSTITUTE(SUBSTITUTE(SUBSTITUTE(Z2308,"~","~~"),"*","~*"),"?","~?"),$Z$5:$Z$5004,0)=2304,MAX($AA$4:AA2307)+1,""))</f>
        <v/>
      </c>
    </row>
    <row r="2309" spans="1:27">
      <c r="A2309" s="9"/>
      <c r="Z2309">
        <f>TRIM(A2309&amp;"")</f>
        <v/>
      </c>
      <c r="AA2309">
        <f>IF(Z2309="","",IF(MATCH(SUBSTITUTE(SUBSTITUTE(SUBSTITUTE(Z2309,"~","~~"),"*","~*"),"?","~?"),$Z$5:$Z$5004,0)=2305,MAX($AA$4:AA2308)+1,""))</f>
        <v/>
      </c>
    </row>
    <row r="2310" spans="1:27">
      <c r="A2310" s="9"/>
      <c r="Z2310">
        <f>TRIM(A2310&amp;"")</f>
        <v/>
      </c>
      <c r="AA2310">
        <f>IF(Z2310="","",IF(MATCH(SUBSTITUTE(SUBSTITUTE(SUBSTITUTE(Z2310,"~","~~"),"*","~*"),"?","~?"),$Z$5:$Z$5004,0)=2306,MAX($AA$4:AA2309)+1,""))</f>
        <v/>
      </c>
    </row>
    <row r="2311" spans="1:27">
      <c r="A2311" s="9"/>
      <c r="Z2311">
        <f>TRIM(A2311&amp;"")</f>
        <v/>
      </c>
      <c r="AA2311">
        <f>IF(Z2311="","",IF(MATCH(SUBSTITUTE(SUBSTITUTE(SUBSTITUTE(Z2311,"~","~~"),"*","~*"),"?","~?"),$Z$5:$Z$5004,0)=2307,MAX($AA$4:AA2310)+1,""))</f>
        <v/>
      </c>
    </row>
    <row r="2312" spans="1:27">
      <c r="A2312" s="9"/>
      <c r="Z2312">
        <f>TRIM(A2312&amp;"")</f>
        <v/>
      </c>
      <c r="AA2312">
        <f>IF(Z2312="","",IF(MATCH(SUBSTITUTE(SUBSTITUTE(SUBSTITUTE(Z2312,"~","~~"),"*","~*"),"?","~?"),$Z$5:$Z$5004,0)=2308,MAX($AA$4:AA2311)+1,""))</f>
        <v/>
      </c>
    </row>
    <row r="2313" spans="1:27">
      <c r="A2313" s="9"/>
      <c r="Z2313">
        <f>TRIM(A2313&amp;"")</f>
        <v/>
      </c>
      <c r="AA2313">
        <f>IF(Z2313="","",IF(MATCH(SUBSTITUTE(SUBSTITUTE(SUBSTITUTE(Z2313,"~","~~"),"*","~*"),"?","~?"),$Z$5:$Z$5004,0)=2309,MAX($AA$4:AA2312)+1,""))</f>
        <v/>
      </c>
    </row>
    <row r="2314" spans="1:27">
      <c r="A2314" s="9"/>
      <c r="Z2314">
        <f>TRIM(A2314&amp;"")</f>
        <v/>
      </c>
      <c r="AA2314">
        <f>IF(Z2314="","",IF(MATCH(SUBSTITUTE(SUBSTITUTE(SUBSTITUTE(Z2314,"~","~~"),"*","~*"),"?","~?"),$Z$5:$Z$5004,0)=2310,MAX($AA$4:AA2313)+1,""))</f>
        <v/>
      </c>
    </row>
    <row r="2315" spans="1:27">
      <c r="A2315" s="9"/>
      <c r="Z2315">
        <f>TRIM(A2315&amp;"")</f>
        <v/>
      </c>
      <c r="AA2315">
        <f>IF(Z2315="","",IF(MATCH(SUBSTITUTE(SUBSTITUTE(SUBSTITUTE(Z2315,"~","~~"),"*","~*"),"?","~?"),$Z$5:$Z$5004,0)=2311,MAX($AA$4:AA2314)+1,""))</f>
        <v/>
      </c>
    </row>
    <row r="2316" spans="1:27">
      <c r="A2316" s="9"/>
      <c r="Z2316">
        <f>TRIM(A2316&amp;"")</f>
        <v/>
      </c>
      <c r="AA2316">
        <f>IF(Z2316="","",IF(MATCH(SUBSTITUTE(SUBSTITUTE(SUBSTITUTE(Z2316,"~","~~"),"*","~*"),"?","~?"),$Z$5:$Z$5004,0)=2312,MAX($AA$4:AA2315)+1,""))</f>
        <v/>
      </c>
    </row>
    <row r="2317" spans="1:27">
      <c r="A2317" s="9"/>
      <c r="Z2317">
        <f>TRIM(A2317&amp;"")</f>
        <v/>
      </c>
      <c r="AA2317">
        <f>IF(Z2317="","",IF(MATCH(SUBSTITUTE(SUBSTITUTE(SUBSTITUTE(Z2317,"~","~~"),"*","~*"),"?","~?"),$Z$5:$Z$5004,0)=2313,MAX($AA$4:AA2316)+1,""))</f>
        <v/>
      </c>
    </row>
    <row r="2318" spans="1:27">
      <c r="A2318" s="9"/>
      <c r="Z2318">
        <f>TRIM(A2318&amp;"")</f>
        <v/>
      </c>
      <c r="AA2318">
        <f>IF(Z2318="","",IF(MATCH(SUBSTITUTE(SUBSTITUTE(SUBSTITUTE(Z2318,"~","~~"),"*","~*"),"?","~?"),$Z$5:$Z$5004,0)=2314,MAX($AA$4:AA2317)+1,""))</f>
        <v/>
      </c>
    </row>
    <row r="2319" spans="1:27">
      <c r="A2319" s="9"/>
      <c r="Z2319">
        <f>TRIM(A2319&amp;"")</f>
        <v/>
      </c>
      <c r="AA2319">
        <f>IF(Z2319="","",IF(MATCH(SUBSTITUTE(SUBSTITUTE(SUBSTITUTE(Z2319,"~","~~"),"*","~*"),"?","~?"),$Z$5:$Z$5004,0)=2315,MAX($AA$4:AA2318)+1,""))</f>
        <v/>
      </c>
    </row>
    <row r="2320" spans="1:27">
      <c r="A2320" s="9"/>
      <c r="Z2320">
        <f>TRIM(A2320&amp;"")</f>
        <v/>
      </c>
      <c r="AA2320">
        <f>IF(Z2320="","",IF(MATCH(SUBSTITUTE(SUBSTITUTE(SUBSTITUTE(Z2320,"~","~~"),"*","~*"),"?","~?"),$Z$5:$Z$5004,0)=2316,MAX($AA$4:AA2319)+1,""))</f>
        <v/>
      </c>
    </row>
    <row r="2321" spans="1:27">
      <c r="A2321" s="9"/>
      <c r="Z2321">
        <f>TRIM(A2321&amp;"")</f>
        <v/>
      </c>
      <c r="AA2321">
        <f>IF(Z2321="","",IF(MATCH(SUBSTITUTE(SUBSTITUTE(SUBSTITUTE(Z2321,"~","~~"),"*","~*"),"?","~?"),$Z$5:$Z$5004,0)=2317,MAX($AA$4:AA2320)+1,""))</f>
        <v/>
      </c>
    </row>
    <row r="2322" spans="1:27">
      <c r="A2322" s="9"/>
      <c r="Z2322">
        <f>TRIM(A2322&amp;"")</f>
        <v/>
      </c>
      <c r="AA2322">
        <f>IF(Z2322="","",IF(MATCH(SUBSTITUTE(SUBSTITUTE(SUBSTITUTE(Z2322,"~","~~"),"*","~*"),"?","~?"),$Z$5:$Z$5004,0)=2318,MAX($AA$4:AA2321)+1,""))</f>
        <v/>
      </c>
    </row>
    <row r="2323" spans="1:27">
      <c r="A2323" s="9"/>
      <c r="Z2323">
        <f>TRIM(A2323&amp;"")</f>
        <v/>
      </c>
      <c r="AA2323">
        <f>IF(Z2323="","",IF(MATCH(SUBSTITUTE(SUBSTITUTE(SUBSTITUTE(Z2323,"~","~~"),"*","~*"),"?","~?"),$Z$5:$Z$5004,0)=2319,MAX($AA$4:AA2322)+1,""))</f>
        <v/>
      </c>
    </row>
    <row r="2324" spans="1:27">
      <c r="A2324" s="9"/>
      <c r="Z2324">
        <f>TRIM(A2324&amp;"")</f>
        <v/>
      </c>
      <c r="AA2324">
        <f>IF(Z2324="","",IF(MATCH(SUBSTITUTE(SUBSTITUTE(SUBSTITUTE(Z2324,"~","~~"),"*","~*"),"?","~?"),$Z$5:$Z$5004,0)=2320,MAX($AA$4:AA2323)+1,""))</f>
        <v/>
      </c>
    </row>
    <row r="2325" spans="1:27">
      <c r="A2325" s="9"/>
      <c r="Z2325">
        <f>TRIM(A2325&amp;"")</f>
        <v/>
      </c>
      <c r="AA2325">
        <f>IF(Z2325="","",IF(MATCH(SUBSTITUTE(SUBSTITUTE(SUBSTITUTE(Z2325,"~","~~"),"*","~*"),"?","~?"),$Z$5:$Z$5004,0)=2321,MAX($AA$4:AA2324)+1,""))</f>
        <v/>
      </c>
    </row>
    <row r="2326" spans="1:27">
      <c r="A2326" s="9"/>
      <c r="Z2326">
        <f>TRIM(A2326&amp;"")</f>
        <v/>
      </c>
      <c r="AA2326">
        <f>IF(Z2326="","",IF(MATCH(SUBSTITUTE(SUBSTITUTE(SUBSTITUTE(Z2326,"~","~~"),"*","~*"),"?","~?"),$Z$5:$Z$5004,0)=2322,MAX($AA$4:AA2325)+1,""))</f>
        <v/>
      </c>
    </row>
    <row r="2327" spans="1:27">
      <c r="A2327" s="9"/>
      <c r="Z2327">
        <f>TRIM(A2327&amp;"")</f>
        <v/>
      </c>
      <c r="AA2327">
        <f>IF(Z2327="","",IF(MATCH(SUBSTITUTE(SUBSTITUTE(SUBSTITUTE(Z2327,"~","~~"),"*","~*"),"?","~?"),$Z$5:$Z$5004,0)=2323,MAX($AA$4:AA2326)+1,""))</f>
        <v/>
      </c>
    </row>
    <row r="2328" spans="1:27">
      <c r="A2328" s="9"/>
      <c r="Z2328">
        <f>TRIM(A2328&amp;"")</f>
        <v/>
      </c>
      <c r="AA2328">
        <f>IF(Z2328="","",IF(MATCH(SUBSTITUTE(SUBSTITUTE(SUBSTITUTE(Z2328,"~","~~"),"*","~*"),"?","~?"),$Z$5:$Z$5004,0)=2324,MAX($AA$4:AA2327)+1,""))</f>
        <v/>
      </c>
    </row>
    <row r="2329" spans="1:27">
      <c r="A2329" s="9"/>
      <c r="Z2329">
        <f>TRIM(A2329&amp;"")</f>
        <v/>
      </c>
      <c r="AA2329">
        <f>IF(Z2329="","",IF(MATCH(SUBSTITUTE(SUBSTITUTE(SUBSTITUTE(Z2329,"~","~~"),"*","~*"),"?","~?"),$Z$5:$Z$5004,0)=2325,MAX($AA$4:AA2328)+1,""))</f>
        <v/>
      </c>
    </row>
    <row r="2330" spans="1:27">
      <c r="A2330" s="9"/>
      <c r="Z2330">
        <f>TRIM(A2330&amp;"")</f>
        <v/>
      </c>
      <c r="AA2330">
        <f>IF(Z2330="","",IF(MATCH(SUBSTITUTE(SUBSTITUTE(SUBSTITUTE(Z2330,"~","~~"),"*","~*"),"?","~?"),$Z$5:$Z$5004,0)=2326,MAX($AA$4:AA2329)+1,""))</f>
        <v/>
      </c>
    </row>
    <row r="2331" spans="1:27">
      <c r="A2331" s="9"/>
      <c r="Z2331">
        <f>TRIM(A2331&amp;"")</f>
        <v/>
      </c>
      <c r="AA2331">
        <f>IF(Z2331="","",IF(MATCH(SUBSTITUTE(SUBSTITUTE(SUBSTITUTE(Z2331,"~","~~"),"*","~*"),"?","~?"),$Z$5:$Z$5004,0)=2327,MAX($AA$4:AA2330)+1,""))</f>
        <v/>
      </c>
    </row>
    <row r="2332" spans="1:27">
      <c r="A2332" s="9"/>
      <c r="Z2332">
        <f>TRIM(A2332&amp;"")</f>
        <v/>
      </c>
      <c r="AA2332">
        <f>IF(Z2332="","",IF(MATCH(SUBSTITUTE(SUBSTITUTE(SUBSTITUTE(Z2332,"~","~~"),"*","~*"),"?","~?"),$Z$5:$Z$5004,0)=2328,MAX($AA$4:AA2331)+1,""))</f>
        <v/>
      </c>
    </row>
    <row r="2333" spans="1:27">
      <c r="A2333" s="9"/>
      <c r="Z2333">
        <f>TRIM(A2333&amp;"")</f>
        <v/>
      </c>
      <c r="AA2333">
        <f>IF(Z2333="","",IF(MATCH(SUBSTITUTE(SUBSTITUTE(SUBSTITUTE(Z2333,"~","~~"),"*","~*"),"?","~?"),$Z$5:$Z$5004,0)=2329,MAX($AA$4:AA2332)+1,""))</f>
        <v/>
      </c>
    </row>
    <row r="2334" spans="1:27">
      <c r="A2334" s="9"/>
      <c r="Z2334">
        <f>TRIM(A2334&amp;"")</f>
        <v/>
      </c>
      <c r="AA2334">
        <f>IF(Z2334="","",IF(MATCH(SUBSTITUTE(SUBSTITUTE(SUBSTITUTE(Z2334,"~","~~"),"*","~*"),"?","~?"),$Z$5:$Z$5004,0)=2330,MAX($AA$4:AA2333)+1,""))</f>
        <v/>
      </c>
    </row>
    <row r="2335" spans="1:27">
      <c r="A2335" s="9"/>
      <c r="Z2335">
        <f>TRIM(A2335&amp;"")</f>
        <v/>
      </c>
      <c r="AA2335">
        <f>IF(Z2335="","",IF(MATCH(SUBSTITUTE(SUBSTITUTE(SUBSTITUTE(Z2335,"~","~~"),"*","~*"),"?","~?"),$Z$5:$Z$5004,0)=2331,MAX($AA$4:AA2334)+1,""))</f>
        <v/>
      </c>
    </row>
    <row r="2336" spans="1:27">
      <c r="A2336" s="9"/>
      <c r="Z2336">
        <f>TRIM(A2336&amp;"")</f>
        <v/>
      </c>
      <c r="AA2336">
        <f>IF(Z2336="","",IF(MATCH(SUBSTITUTE(SUBSTITUTE(SUBSTITUTE(Z2336,"~","~~"),"*","~*"),"?","~?"),$Z$5:$Z$5004,0)=2332,MAX($AA$4:AA2335)+1,""))</f>
        <v/>
      </c>
    </row>
    <row r="2337" spans="1:27">
      <c r="A2337" s="9"/>
      <c r="Z2337">
        <f>TRIM(A2337&amp;"")</f>
        <v/>
      </c>
      <c r="AA2337">
        <f>IF(Z2337="","",IF(MATCH(SUBSTITUTE(SUBSTITUTE(SUBSTITUTE(Z2337,"~","~~"),"*","~*"),"?","~?"),$Z$5:$Z$5004,0)=2333,MAX($AA$4:AA2336)+1,""))</f>
        <v/>
      </c>
    </row>
    <row r="2338" spans="1:27">
      <c r="A2338" s="9"/>
      <c r="Z2338">
        <f>TRIM(A2338&amp;"")</f>
        <v/>
      </c>
      <c r="AA2338">
        <f>IF(Z2338="","",IF(MATCH(SUBSTITUTE(SUBSTITUTE(SUBSTITUTE(Z2338,"~","~~"),"*","~*"),"?","~?"),$Z$5:$Z$5004,0)=2334,MAX($AA$4:AA2337)+1,""))</f>
        <v/>
      </c>
    </row>
    <row r="2339" spans="1:27">
      <c r="A2339" s="9"/>
      <c r="Z2339">
        <f>TRIM(A2339&amp;"")</f>
        <v/>
      </c>
      <c r="AA2339">
        <f>IF(Z2339="","",IF(MATCH(SUBSTITUTE(SUBSTITUTE(SUBSTITUTE(Z2339,"~","~~"),"*","~*"),"?","~?"),$Z$5:$Z$5004,0)=2335,MAX($AA$4:AA2338)+1,""))</f>
        <v/>
      </c>
    </row>
    <row r="2340" spans="1:27">
      <c r="A2340" s="9"/>
      <c r="Z2340">
        <f>TRIM(A2340&amp;"")</f>
        <v/>
      </c>
      <c r="AA2340">
        <f>IF(Z2340="","",IF(MATCH(SUBSTITUTE(SUBSTITUTE(SUBSTITUTE(Z2340,"~","~~"),"*","~*"),"?","~?"),$Z$5:$Z$5004,0)=2336,MAX($AA$4:AA2339)+1,""))</f>
        <v/>
      </c>
    </row>
    <row r="2341" spans="1:27">
      <c r="A2341" s="9"/>
      <c r="Z2341">
        <f>TRIM(A2341&amp;"")</f>
        <v/>
      </c>
      <c r="AA2341">
        <f>IF(Z2341="","",IF(MATCH(SUBSTITUTE(SUBSTITUTE(SUBSTITUTE(Z2341,"~","~~"),"*","~*"),"?","~?"),$Z$5:$Z$5004,0)=2337,MAX($AA$4:AA2340)+1,""))</f>
        <v/>
      </c>
    </row>
    <row r="2342" spans="1:27">
      <c r="A2342" s="9"/>
      <c r="Z2342">
        <f>TRIM(A2342&amp;"")</f>
        <v/>
      </c>
      <c r="AA2342">
        <f>IF(Z2342="","",IF(MATCH(SUBSTITUTE(SUBSTITUTE(SUBSTITUTE(Z2342,"~","~~"),"*","~*"),"?","~?"),$Z$5:$Z$5004,0)=2338,MAX($AA$4:AA2341)+1,""))</f>
        <v/>
      </c>
    </row>
    <row r="2343" spans="1:27">
      <c r="A2343" s="9"/>
      <c r="Z2343">
        <f>TRIM(A2343&amp;"")</f>
        <v/>
      </c>
      <c r="AA2343">
        <f>IF(Z2343="","",IF(MATCH(SUBSTITUTE(SUBSTITUTE(SUBSTITUTE(Z2343,"~","~~"),"*","~*"),"?","~?"),$Z$5:$Z$5004,0)=2339,MAX($AA$4:AA2342)+1,""))</f>
        <v/>
      </c>
    </row>
    <row r="2344" spans="1:27">
      <c r="A2344" s="9"/>
      <c r="Z2344">
        <f>TRIM(A2344&amp;"")</f>
        <v/>
      </c>
      <c r="AA2344">
        <f>IF(Z2344="","",IF(MATCH(SUBSTITUTE(SUBSTITUTE(SUBSTITUTE(Z2344,"~","~~"),"*","~*"),"?","~?"),$Z$5:$Z$5004,0)=2340,MAX($AA$4:AA2343)+1,""))</f>
        <v/>
      </c>
    </row>
    <row r="2345" spans="1:27">
      <c r="A2345" s="9"/>
      <c r="Z2345">
        <f>TRIM(A2345&amp;"")</f>
        <v/>
      </c>
      <c r="AA2345">
        <f>IF(Z2345="","",IF(MATCH(SUBSTITUTE(SUBSTITUTE(SUBSTITUTE(Z2345,"~","~~"),"*","~*"),"?","~?"),$Z$5:$Z$5004,0)=2341,MAX($AA$4:AA2344)+1,""))</f>
        <v/>
      </c>
    </row>
    <row r="2346" spans="1:27">
      <c r="A2346" s="9"/>
      <c r="Z2346">
        <f>TRIM(A2346&amp;"")</f>
        <v/>
      </c>
      <c r="AA2346">
        <f>IF(Z2346="","",IF(MATCH(SUBSTITUTE(SUBSTITUTE(SUBSTITUTE(Z2346,"~","~~"),"*","~*"),"?","~?"),$Z$5:$Z$5004,0)=2342,MAX($AA$4:AA2345)+1,""))</f>
        <v/>
      </c>
    </row>
    <row r="2347" spans="1:27">
      <c r="A2347" s="9"/>
      <c r="Z2347">
        <f>TRIM(A2347&amp;"")</f>
        <v/>
      </c>
      <c r="AA2347">
        <f>IF(Z2347="","",IF(MATCH(SUBSTITUTE(SUBSTITUTE(SUBSTITUTE(Z2347,"~","~~"),"*","~*"),"?","~?"),$Z$5:$Z$5004,0)=2343,MAX($AA$4:AA2346)+1,""))</f>
        <v/>
      </c>
    </row>
    <row r="2348" spans="1:27">
      <c r="A2348" s="9"/>
      <c r="Z2348">
        <f>TRIM(A2348&amp;"")</f>
        <v/>
      </c>
      <c r="AA2348">
        <f>IF(Z2348="","",IF(MATCH(SUBSTITUTE(SUBSTITUTE(SUBSTITUTE(Z2348,"~","~~"),"*","~*"),"?","~?"),$Z$5:$Z$5004,0)=2344,MAX($AA$4:AA2347)+1,""))</f>
        <v/>
      </c>
    </row>
    <row r="2349" spans="1:27">
      <c r="A2349" s="9"/>
      <c r="Z2349">
        <f>TRIM(A2349&amp;"")</f>
        <v/>
      </c>
      <c r="AA2349">
        <f>IF(Z2349="","",IF(MATCH(SUBSTITUTE(SUBSTITUTE(SUBSTITUTE(Z2349,"~","~~"),"*","~*"),"?","~?"),$Z$5:$Z$5004,0)=2345,MAX($AA$4:AA2348)+1,""))</f>
        <v/>
      </c>
    </row>
    <row r="2350" spans="1:27">
      <c r="A2350" s="9"/>
      <c r="Z2350">
        <f>TRIM(A2350&amp;"")</f>
        <v/>
      </c>
      <c r="AA2350">
        <f>IF(Z2350="","",IF(MATCH(SUBSTITUTE(SUBSTITUTE(SUBSTITUTE(Z2350,"~","~~"),"*","~*"),"?","~?"),$Z$5:$Z$5004,0)=2346,MAX($AA$4:AA2349)+1,""))</f>
        <v/>
      </c>
    </row>
    <row r="2351" spans="1:27">
      <c r="A2351" s="9"/>
      <c r="Z2351">
        <f>TRIM(A2351&amp;"")</f>
        <v/>
      </c>
      <c r="AA2351">
        <f>IF(Z2351="","",IF(MATCH(SUBSTITUTE(SUBSTITUTE(SUBSTITUTE(Z2351,"~","~~"),"*","~*"),"?","~?"),$Z$5:$Z$5004,0)=2347,MAX($AA$4:AA2350)+1,""))</f>
        <v/>
      </c>
    </row>
    <row r="2352" spans="1:27">
      <c r="A2352" s="9"/>
      <c r="Z2352">
        <f>TRIM(A2352&amp;"")</f>
        <v/>
      </c>
      <c r="AA2352">
        <f>IF(Z2352="","",IF(MATCH(SUBSTITUTE(SUBSTITUTE(SUBSTITUTE(Z2352,"~","~~"),"*","~*"),"?","~?"),$Z$5:$Z$5004,0)=2348,MAX($AA$4:AA2351)+1,""))</f>
        <v/>
      </c>
    </row>
    <row r="2353" spans="1:27">
      <c r="A2353" s="9"/>
      <c r="Z2353">
        <f>TRIM(A2353&amp;"")</f>
        <v/>
      </c>
      <c r="AA2353">
        <f>IF(Z2353="","",IF(MATCH(SUBSTITUTE(SUBSTITUTE(SUBSTITUTE(Z2353,"~","~~"),"*","~*"),"?","~?"),$Z$5:$Z$5004,0)=2349,MAX($AA$4:AA2352)+1,""))</f>
        <v/>
      </c>
    </row>
    <row r="2354" spans="1:27">
      <c r="A2354" s="9"/>
      <c r="Z2354">
        <f>TRIM(A2354&amp;"")</f>
        <v/>
      </c>
      <c r="AA2354">
        <f>IF(Z2354="","",IF(MATCH(SUBSTITUTE(SUBSTITUTE(SUBSTITUTE(Z2354,"~","~~"),"*","~*"),"?","~?"),$Z$5:$Z$5004,0)=2350,MAX($AA$4:AA2353)+1,""))</f>
        <v/>
      </c>
    </row>
    <row r="2355" spans="1:27">
      <c r="A2355" s="9"/>
      <c r="Z2355">
        <f>TRIM(A2355&amp;"")</f>
        <v/>
      </c>
      <c r="AA2355">
        <f>IF(Z2355="","",IF(MATCH(SUBSTITUTE(SUBSTITUTE(SUBSTITUTE(Z2355,"~","~~"),"*","~*"),"?","~?"),$Z$5:$Z$5004,0)=2351,MAX($AA$4:AA2354)+1,""))</f>
        <v/>
      </c>
    </row>
    <row r="2356" spans="1:27">
      <c r="A2356" s="9"/>
      <c r="Z2356">
        <f>TRIM(A2356&amp;"")</f>
        <v/>
      </c>
      <c r="AA2356">
        <f>IF(Z2356="","",IF(MATCH(SUBSTITUTE(SUBSTITUTE(SUBSTITUTE(Z2356,"~","~~"),"*","~*"),"?","~?"),$Z$5:$Z$5004,0)=2352,MAX($AA$4:AA2355)+1,""))</f>
        <v/>
      </c>
    </row>
    <row r="2357" spans="1:27">
      <c r="A2357" s="9"/>
      <c r="Z2357">
        <f>TRIM(A2357&amp;"")</f>
        <v/>
      </c>
      <c r="AA2357">
        <f>IF(Z2357="","",IF(MATCH(SUBSTITUTE(SUBSTITUTE(SUBSTITUTE(Z2357,"~","~~"),"*","~*"),"?","~?"),$Z$5:$Z$5004,0)=2353,MAX($AA$4:AA2356)+1,""))</f>
        <v/>
      </c>
    </row>
    <row r="2358" spans="1:27">
      <c r="A2358" s="9"/>
      <c r="Z2358">
        <f>TRIM(A2358&amp;"")</f>
        <v/>
      </c>
      <c r="AA2358">
        <f>IF(Z2358="","",IF(MATCH(SUBSTITUTE(SUBSTITUTE(SUBSTITUTE(Z2358,"~","~~"),"*","~*"),"?","~?"),$Z$5:$Z$5004,0)=2354,MAX($AA$4:AA2357)+1,""))</f>
        <v/>
      </c>
    </row>
    <row r="2359" spans="1:27">
      <c r="A2359" s="9"/>
      <c r="Z2359">
        <f>TRIM(A2359&amp;"")</f>
        <v/>
      </c>
      <c r="AA2359">
        <f>IF(Z2359="","",IF(MATCH(SUBSTITUTE(SUBSTITUTE(SUBSTITUTE(Z2359,"~","~~"),"*","~*"),"?","~?"),$Z$5:$Z$5004,0)=2355,MAX($AA$4:AA2358)+1,""))</f>
        <v/>
      </c>
    </row>
    <row r="2360" spans="1:27">
      <c r="A2360" s="9"/>
      <c r="Z2360">
        <f>TRIM(A2360&amp;"")</f>
        <v/>
      </c>
      <c r="AA2360">
        <f>IF(Z2360="","",IF(MATCH(SUBSTITUTE(SUBSTITUTE(SUBSTITUTE(Z2360,"~","~~"),"*","~*"),"?","~?"),$Z$5:$Z$5004,0)=2356,MAX($AA$4:AA2359)+1,""))</f>
        <v/>
      </c>
    </row>
    <row r="2361" spans="1:27">
      <c r="A2361" s="9"/>
      <c r="Z2361">
        <f>TRIM(A2361&amp;"")</f>
        <v/>
      </c>
      <c r="AA2361">
        <f>IF(Z2361="","",IF(MATCH(SUBSTITUTE(SUBSTITUTE(SUBSTITUTE(Z2361,"~","~~"),"*","~*"),"?","~?"),$Z$5:$Z$5004,0)=2357,MAX($AA$4:AA2360)+1,""))</f>
        <v/>
      </c>
    </row>
    <row r="2362" spans="1:27">
      <c r="A2362" s="9"/>
      <c r="Z2362">
        <f>TRIM(A2362&amp;"")</f>
        <v/>
      </c>
      <c r="AA2362">
        <f>IF(Z2362="","",IF(MATCH(SUBSTITUTE(SUBSTITUTE(SUBSTITUTE(Z2362,"~","~~"),"*","~*"),"?","~?"),$Z$5:$Z$5004,0)=2358,MAX($AA$4:AA2361)+1,""))</f>
        <v/>
      </c>
    </row>
    <row r="2363" spans="1:27">
      <c r="A2363" s="9"/>
      <c r="Z2363">
        <f>TRIM(A2363&amp;"")</f>
        <v/>
      </c>
      <c r="AA2363">
        <f>IF(Z2363="","",IF(MATCH(SUBSTITUTE(SUBSTITUTE(SUBSTITUTE(Z2363,"~","~~"),"*","~*"),"?","~?"),$Z$5:$Z$5004,0)=2359,MAX($AA$4:AA2362)+1,""))</f>
        <v/>
      </c>
    </row>
    <row r="2364" spans="1:27">
      <c r="A2364" s="9"/>
      <c r="Z2364">
        <f>TRIM(A2364&amp;"")</f>
        <v/>
      </c>
      <c r="AA2364">
        <f>IF(Z2364="","",IF(MATCH(SUBSTITUTE(SUBSTITUTE(SUBSTITUTE(Z2364,"~","~~"),"*","~*"),"?","~?"),$Z$5:$Z$5004,0)=2360,MAX($AA$4:AA2363)+1,""))</f>
        <v/>
      </c>
    </row>
    <row r="2365" spans="1:27">
      <c r="A2365" s="9"/>
      <c r="Z2365">
        <f>TRIM(A2365&amp;"")</f>
        <v/>
      </c>
      <c r="AA2365">
        <f>IF(Z2365="","",IF(MATCH(SUBSTITUTE(SUBSTITUTE(SUBSTITUTE(Z2365,"~","~~"),"*","~*"),"?","~?"),$Z$5:$Z$5004,0)=2361,MAX($AA$4:AA2364)+1,""))</f>
        <v/>
      </c>
    </row>
    <row r="2366" spans="1:27">
      <c r="A2366" s="9"/>
      <c r="Z2366">
        <f>TRIM(A2366&amp;"")</f>
        <v/>
      </c>
      <c r="AA2366">
        <f>IF(Z2366="","",IF(MATCH(SUBSTITUTE(SUBSTITUTE(SUBSTITUTE(Z2366,"~","~~"),"*","~*"),"?","~?"),$Z$5:$Z$5004,0)=2362,MAX($AA$4:AA2365)+1,""))</f>
        <v/>
      </c>
    </row>
    <row r="2367" spans="1:27">
      <c r="A2367" s="9"/>
      <c r="Z2367">
        <f>TRIM(A2367&amp;"")</f>
        <v/>
      </c>
      <c r="AA2367">
        <f>IF(Z2367="","",IF(MATCH(SUBSTITUTE(SUBSTITUTE(SUBSTITUTE(Z2367,"~","~~"),"*","~*"),"?","~?"),$Z$5:$Z$5004,0)=2363,MAX($AA$4:AA2366)+1,""))</f>
        <v/>
      </c>
    </row>
    <row r="2368" spans="1:27">
      <c r="A2368" s="9"/>
      <c r="Z2368">
        <f>TRIM(A2368&amp;"")</f>
        <v/>
      </c>
      <c r="AA2368">
        <f>IF(Z2368="","",IF(MATCH(SUBSTITUTE(SUBSTITUTE(SUBSTITUTE(Z2368,"~","~~"),"*","~*"),"?","~?"),$Z$5:$Z$5004,0)=2364,MAX($AA$4:AA2367)+1,""))</f>
        <v/>
      </c>
    </row>
    <row r="2369" spans="1:27">
      <c r="A2369" s="9"/>
      <c r="Z2369">
        <f>TRIM(A2369&amp;"")</f>
        <v/>
      </c>
      <c r="AA2369">
        <f>IF(Z2369="","",IF(MATCH(SUBSTITUTE(SUBSTITUTE(SUBSTITUTE(Z2369,"~","~~"),"*","~*"),"?","~?"),$Z$5:$Z$5004,0)=2365,MAX($AA$4:AA2368)+1,""))</f>
        <v/>
      </c>
    </row>
    <row r="2370" spans="1:27">
      <c r="A2370" s="9"/>
      <c r="Z2370">
        <f>TRIM(A2370&amp;"")</f>
        <v/>
      </c>
      <c r="AA2370">
        <f>IF(Z2370="","",IF(MATCH(SUBSTITUTE(SUBSTITUTE(SUBSTITUTE(Z2370,"~","~~"),"*","~*"),"?","~?"),$Z$5:$Z$5004,0)=2366,MAX($AA$4:AA2369)+1,""))</f>
        <v/>
      </c>
    </row>
    <row r="2371" spans="1:27">
      <c r="A2371" s="9"/>
      <c r="Z2371">
        <f>TRIM(A2371&amp;"")</f>
        <v/>
      </c>
      <c r="AA2371">
        <f>IF(Z2371="","",IF(MATCH(SUBSTITUTE(SUBSTITUTE(SUBSTITUTE(Z2371,"~","~~"),"*","~*"),"?","~?"),$Z$5:$Z$5004,0)=2367,MAX($AA$4:AA2370)+1,""))</f>
        <v/>
      </c>
    </row>
    <row r="2372" spans="1:27">
      <c r="A2372" s="9"/>
      <c r="Z2372">
        <f>TRIM(A2372&amp;"")</f>
        <v/>
      </c>
      <c r="AA2372">
        <f>IF(Z2372="","",IF(MATCH(SUBSTITUTE(SUBSTITUTE(SUBSTITUTE(Z2372,"~","~~"),"*","~*"),"?","~?"),$Z$5:$Z$5004,0)=2368,MAX($AA$4:AA2371)+1,""))</f>
        <v/>
      </c>
    </row>
    <row r="2373" spans="1:27">
      <c r="A2373" s="9"/>
      <c r="Z2373">
        <f>TRIM(A2373&amp;"")</f>
        <v/>
      </c>
      <c r="AA2373">
        <f>IF(Z2373="","",IF(MATCH(SUBSTITUTE(SUBSTITUTE(SUBSTITUTE(Z2373,"~","~~"),"*","~*"),"?","~?"),$Z$5:$Z$5004,0)=2369,MAX($AA$4:AA2372)+1,""))</f>
        <v/>
      </c>
    </row>
    <row r="2374" spans="1:27">
      <c r="A2374" s="9"/>
      <c r="Z2374">
        <f>TRIM(A2374&amp;"")</f>
        <v/>
      </c>
      <c r="AA2374">
        <f>IF(Z2374="","",IF(MATCH(SUBSTITUTE(SUBSTITUTE(SUBSTITUTE(Z2374,"~","~~"),"*","~*"),"?","~?"),$Z$5:$Z$5004,0)=2370,MAX($AA$4:AA2373)+1,""))</f>
        <v/>
      </c>
    </row>
    <row r="2375" spans="1:27">
      <c r="A2375" s="9"/>
      <c r="Z2375">
        <f>TRIM(A2375&amp;"")</f>
        <v/>
      </c>
      <c r="AA2375">
        <f>IF(Z2375="","",IF(MATCH(SUBSTITUTE(SUBSTITUTE(SUBSTITUTE(Z2375,"~","~~"),"*","~*"),"?","~?"),$Z$5:$Z$5004,0)=2371,MAX($AA$4:AA2374)+1,""))</f>
        <v/>
      </c>
    </row>
    <row r="2376" spans="1:27">
      <c r="A2376" s="9"/>
      <c r="Z2376">
        <f>TRIM(A2376&amp;"")</f>
        <v/>
      </c>
      <c r="AA2376">
        <f>IF(Z2376="","",IF(MATCH(SUBSTITUTE(SUBSTITUTE(SUBSTITUTE(Z2376,"~","~~"),"*","~*"),"?","~?"),$Z$5:$Z$5004,0)=2372,MAX($AA$4:AA2375)+1,""))</f>
        <v/>
      </c>
    </row>
    <row r="2377" spans="1:27">
      <c r="A2377" s="9"/>
      <c r="Z2377">
        <f>TRIM(A2377&amp;"")</f>
        <v/>
      </c>
      <c r="AA2377">
        <f>IF(Z2377="","",IF(MATCH(SUBSTITUTE(SUBSTITUTE(SUBSTITUTE(Z2377,"~","~~"),"*","~*"),"?","~?"),$Z$5:$Z$5004,0)=2373,MAX($AA$4:AA2376)+1,""))</f>
        <v/>
      </c>
    </row>
    <row r="2378" spans="1:27">
      <c r="A2378" s="9"/>
      <c r="Z2378">
        <f>TRIM(A2378&amp;"")</f>
        <v/>
      </c>
      <c r="AA2378">
        <f>IF(Z2378="","",IF(MATCH(SUBSTITUTE(SUBSTITUTE(SUBSTITUTE(Z2378,"~","~~"),"*","~*"),"?","~?"),$Z$5:$Z$5004,0)=2374,MAX($AA$4:AA2377)+1,""))</f>
        <v/>
      </c>
    </row>
    <row r="2379" spans="1:27">
      <c r="A2379" s="9"/>
      <c r="Z2379">
        <f>TRIM(A2379&amp;"")</f>
        <v/>
      </c>
      <c r="AA2379">
        <f>IF(Z2379="","",IF(MATCH(SUBSTITUTE(SUBSTITUTE(SUBSTITUTE(Z2379,"~","~~"),"*","~*"),"?","~?"),$Z$5:$Z$5004,0)=2375,MAX($AA$4:AA2378)+1,""))</f>
        <v/>
      </c>
    </row>
    <row r="2380" spans="1:27">
      <c r="A2380" s="9"/>
      <c r="Z2380">
        <f>TRIM(A2380&amp;"")</f>
        <v/>
      </c>
      <c r="AA2380">
        <f>IF(Z2380="","",IF(MATCH(SUBSTITUTE(SUBSTITUTE(SUBSTITUTE(Z2380,"~","~~"),"*","~*"),"?","~?"),$Z$5:$Z$5004,0)=2376,MAX($AA$4:AA2379)+1,""))</f>
        <v/>
      </c>
    </row>
    <row r="2381" spans="1:27">
      <c r="A2381" s="9"/>
      <c r="Z2381">
        <f>TRIM(A2381&amp;"")</f>
        <v/>
      </c>
      <c r="AA2381">
        <f>IF(Z2381="","",IF(MATCH(SUBSTITUTE(SUBSTITUTE(SUBSTITUTE(Z2381,"~","~~"),"*","~*"),"?","~?"),$Z$5:$Z$5004,0)=2377,MAX($AA$4:AA2380)+1,""))</f>
        <v/>
      </c>
    </row>
    <row r="2382" spans="1:27">
      <c r="A2382" s="9"/>
      <c r="Z2382">
        <f>TRIM(A2382&amp;"")</f>
        <v/>
      </c>
      <c r="AA2382">
        <f>IF(Z2382="","",IF(MATCH(SUBSTITUTE(SUBSTITUTE(SUBSTITUTE(Z2382,"~","~~"),"*","~*"),"?","~?"),$Z$5:$Z$5004,0)=2378,MAX($AA$4:AA2381)+1,""))</f>
        <v/>
      </c>
    </row>
    <row r="2383" spans="1:27">
      <c r="A2383" s="9"/>
      <c r="Z2383">
        <f>TRIM(A2383&amp;"")</f>
        <v/>
      </c>
      <c r="AA2383">
        <f>IF(Z2383="","",IF(MATCH(SUBSTITUTE(SUBSTITUTE(SUBSTITUTE(Z2383,"~","~~"),"*","~*"),"?","~?"),$Z$5:$Z$5004,0)=2379,MAX($AA$4:AA2382)+1,""))</f>
        <v/>
      </c>
    </row>
    <row r="2384" spans="1:27">
      <c r="A2384" s="9"/>
      <c r="Z2384">
        <f>TRIM(A2384&amp;"")</f>
        <v/>
      </c>
      <c r="AA2384">
        <f>IF(Z2384="","",IF(MATCH(SUBSTITUTE(SUBSTITUTE(SUBSTITUTE(Z2384,"~","~~"),"*","~*"),"?","~?"),$Z$5:$Z$5004,0)=2380,MAX($AA$4:AA2383)+1,""))</f>
        <v/>
      </c>
    </row>
    <row r="2385" spans="1:27">
      <c r="A2385" s="9"/>
      <c r="Z2385">
        <f>TRIM(A2385&amp;"")</f>
        <v/>
      </c>
      <c r="AA2385">
        <f>IF(Z2385="","",IF(MATCH(SUBSTITUTE(SUBSTITUTE(SUBSTITUTE(Z2385,"~","~~"),"*","~*"),"?","~?"),$Z$5:$Z$5004,0)=2381,MAX($AA$4:AA2384)+1,""))</f>
        <v/>
      </c>
    </row>
    <row r="2386" spans="1:27">
      <c r="A2386" s="9"/>
      <c r="Z2386">
        <f>TRIM(A2386&amp;"")</f>
        <v/>
      </c>
      <c r="AA2386">
        <f>IF(Z2386="","",IF(MATCH(SUBSTITUTE(SUBSTITUTE(SUBSTITUTE(Z2386,"~","~~"),"*","~*"),"?","~?"),$Z$5:$Z$5004,0)=2382,MAX($AA$4:AA2385)+1,""))</f>
        <v/>
      </c>
    </row>
    <row r="2387" spans="1:27">
      <c r="A2387" s="9"/>
      <c r="Z2387">
        <f>TRIM(A2387&amp;"")</f>
        <v/>
      </c>
      <c r="AA2387">
        <f>IF(Z2387="","",IF(MATCH(SUBSTITUTE(SUBSTITUTE(SUBSTITUTE(Z2387,"~","~~"),"*","~*"),"?","~?"),$Z$5:$Z$5004,0)=2383,MAX($AA$4:AA2386)+1,""))</f>
        <v/>
      </c>
    </row>
    <row r="2388" spans="1:27">
      <c r="A2388" s="9"/>
      <c r="Z2388">
        <f>TRIM(A2388&amp;"")</f>
        <v/>
      </c>
      <c r="AA2388">
        <f>IF(Z2388="","",IF(MATCH(SUBSTITUTE(SUBSTITUTE(SUBSTITUTE(Z2388,"~","~~"),"*","~*"),"?","~?"),$Z$5:$Z$5004,0)=2384,MAX($AA$4:AA2387)+1,""))</f>
        <v/>
      </c>
    </row>
    <row r="2389" spans="1:27">
      <c r="A2389" s="9"/>
      <c r="Z2389">
        <f>TRIM(A2389&amp;"")</f>
        <v/>
      </c>
      <c r="AA2389">
        <f>IF(Z2389="","",IF(MATCH(SUBSTITUTE(SUBSTITUTE(SUBSTITUTE(Z2389,"~","~~"),"*","~*"),"?","~?"),$Z$5:$Z$5004,0)=2385,MAX($AA$4:AA2388)+1,""))</f>
        <v/>
      </c>
    </row>
    <row r="2390" spans="1:27">
      <c r="A2390" s="9"/>
      <c r="Z2390">
        <f>TRIM(A2390&amp;"")</f>
        <v/>
      </c>
      <c r="AA2390">
        <f>IF(Z2390="","",IF(MATCH(SUBSTITUTE(SUBSTITUTE(SUBSTITUTE(Z2390,"~","~~"),"*","~*"),"?","~?"),$Z$5:$Z$5004,0)=2386,MAX($AA$4:AA2389)+1,""))</f>
        <v/>
      </c>
    </row>
    <row r="2391" spans="1:27">
      <c r="A2391" s="9"/>
      <c r="Z2391">
        <f>TRIM(A2391&amp;"")</f>
        <v/>
      </c>
      <c r="AA2391">
        <f>IF(Z2391="","",IF(MATCH(SUBSTITUTE(SUBSTITUTE(SUBSTITUTE(Z2391,"~","~~"),"*","~*"),"?","~?"),$Z$5:$Z$5004,0)=2387,MAX($AA$4:AA2390)+1,""))</f>
        <v/>
      </c>
    </row>
    <row r="2392" spans="1:27">
      <c r="A2392" s="9"/>
      <c r="Z2392">
        <f>TRIM(A2392&amp;"")</f>
        <v/>
      </c>
      <c r="AA2392">
        <f>IF(Z2392="","",IF(MATCH(SUBSTITUTE(SUBSTITUTE(SUBSTITUTE(Z2392,"~","~~"),"*","~*"),"?","~?"),$Z$5:$Z$5004,0)=2388,MAX($AA$4:AA2391)+1,""))</f>
        <v/>
      </c>
    </row>
    <row r="2393" spans="1:27">
      <c r="A2393" s="9"/>
      <c r="Z2393">
        <f>TRIM(A2393&amp;"")</f>
        <v/>
      </c>
      <c r="AA2393">
        <f>IF(Z2393="","",IF(MATCH(SUBSTITUTE(SUBSTITUTE(SUBSTITUTE(Z2393,"~","~~"),"*","~*"),"?","~?"),$Z$5:$Z$5004,0)=2389,MAX($AA$4:AA2392)+1,""))</f>
        <v/>
      </c>
    </row>
    <row r="2394" spans="1:27">
      <c r="A2394" s="9"/>
      <c r="Z2394">
        <f>TRIM(A2394&amp;"")</f>
        <v/>
      </c>
      <c r="AA2394">
        <f>IF(Z2394="","",IF(MATCH(SUBSTITUTE(SUBSTITUTE(SUBSTITUTE(Z2394,"~","~~"),"*","~*"),"?","~?"),$Z$5:$Z$5004,0)=2390,MAX($AA$4:AA2393)+1,""))</f>
        <v/>
      </c>
    </row>
    <row r="2395" spans="1:27">
      <c r="A2395" s="9"/>
      <c r="Z2395">
        <f>TRIM(A2395&amp;"")</f>
        <v/>
      </c>
      <c r="AA2395">
        <f>IF(Z2395="","",IF(MATCH(SUBSTITUTE(SUBSTITUTE(SUBSTITUTE(Z2395,"~","~~"),"*","~*"),"?","~?"),$Z$5:$Z$5004,0)=2391,MAX($AA$4:AA2394)+1,""))</f>
        <v/>
      </c>
    </row>
    <row r="2396" spans="1:27">
      <c r="A2396" s="9"/>
      <c r="Z2396">
        <f>TRIM(A2396&amp;"")</f>
        <v/>
      </c>
      <c r="AA2396">
        <f>IF(Z2396="","",IF(MATCH(SUBSTITUTE(SUBSTITUTE(SUBSTITUTE(Z2396,"~","~~"),"*","~*"),"?","~?"),$Z$5:$Z$5004,0)=2392,MAX($AA$4:AA2395)+1,""))</f>
        <v/>
      </c>
    </row>
    <row r="2397" spans="1:27">
      <c r="A2397" s="9"/>
      <c r="Z2397">
        <f>TRIM(A2397&amp;"")</f>
        <v/>
      </c>
      <c r="AA2397">
        <f>IF(Z2397="","",IF(MATCH(SUBSTITUTE(SUBSTITUTE(SUBSTITUTE(Z2397,"~","~~"),"*","~*"),"?","~?"),$Z$5:$Z$5004,0)=2393,MAX($AA$4:AA2396)+1,""))</f>
        <v/>
      </c>
    </row>
    <row r="2398" spans="1:27">
      <c r="A2398" s="9"/>
      <c r="Z2398">
        <f>TRIM(A2398&amp;"")</f>
        <v/>
      </c>
      <c r="AA2398">
        <f>IF(Z2398="","",IF(MATCH(SUBSTITUTE(SUBSTITUTE(SUBSTITUTE(Z2398,"~","~~"),"*","~*"),"?","~?"),$Z$5:$Z$5004,0)=2394,MAX($AA$4:AA2397)+1,""))</f>
        <v/>
      </c>
    </row>
    <row r="2399" spans="1:27">
      <c r="A2399" s="9"/>
      <c r="Z2399">
        <f>TRIM(A2399&amp;"")</f>
        <v/>
      </c>
      <c r="AA2399">
        <f>IF(Z2399="","",IF(MATCH(SUBSTITUTE(SUBSTITUTE(SUBSTITUTE(Z2399,"~","~~"),"*","~*"),"?","~?"),$Z$5:$Z$5004,0)=2395,MAX($AA$4:AA2398)+1,""))</f>
        <v/>
      </c>
    </row>
    <row r="2400" spans="1:27">
      <c r="A2400" s="9"/>
      <c r="Z2400">
        <f>TRIM(A2400&amp;"")</f>
        <v/>
      </c>
      <c r="AA2400">
        <f>IF(Z2400="","",IF(MATCH(SUBSTITUTE(SUBSTITUTE(SUBSTITUTE(Z2400,"~","~~"),"*","~*"),"?","~?"),$Z$5:$Z$5004,0)=2396,MAX($AA$4:AA2399)+1,""))</f>
        <v/>
      </c>
    </row>
    <row r="2401" spans="1:27">
      <c r="A2401" s="9"/>
      <c r="Z2401">
        <f>TRIM(A2401&amp;"")</f>
        <v/>
      </c>
      <c r="AA2401">
        <f>IF(Z2401="","",IF(MATCH(SUBSTITUTE(SUBSTITUTE(SUBSTITUTE(Z2401,"~","~~"),"*","~*"),"?","~?"),$Z$5:$Z$5004,0)=2397,MAX($AA$4:AA2400)+1,""))</f>
        <v/>
      </c>
    </row>
    <row r="2402" spans="1:27">
      <c r="A2402" s="9"/>
      <c r="Z2402">
        <f>TRIM(A2402&amp;"")</f>
        <v/>
      </c>
      <c r="AA2402">
        <f>IF(Z2402="","",IF(MATCH(SUBSTITUTE(SUBSTITUTE(SUBSTITUTE(Z2402,"~","~~"),"*","~*"),"?","~?"),$Z$5:$Z$5004,0)=2398,MAX($AA$4:AA2401)+1,""))</f>
        <v/>
      </c>
    </row>
    <row r="2403" spans="1:27">
      <c r="A2403" s="9"/>
      <c r="Z2403">
        <f>TRIM(A2403&amp;"")</f>
        <v/>
      </c>
      <c r="AA2403">
        <f>IF(Z2403="","",IF(MATCH(SUBSTITUTE(SUBSTITUTE(SUBSTITUTE(Z2403,"~","~~"),"*","~*"),"?","~?"),$Z$5:$Z$5004,0)=2399,MAX($AA$4:AA2402)+1,""))</f>
        <v/>
      </c>
    </row>
    <row r="2404" spans="1:27">
      <c r="A2404" s="9"/>
      <c r="Z2404">
        <f>TRIM(A2404&amp;"")</f>
        <v/>
      </c>
      <c r="AA2404">
        <f>IF(Z2404="","",IF(MATCH(SUBSTITUTE(SUBSTITUTE(SUBSTITUTE(Z2404,"~","~~"),"*","~*"),"?","~?"),$Z$5:$Z$5004,0)=2400,MAX($AA$4:AA2403)+1,""))</f>
        <v/>
      </c>
    </row>
    <row r="2405" spans="1:27">
      <c r="A2405" s="9"/>
      <c r="Z2405">
        <f>TRIM(A2405&amp;"")</f>
        <v/>
      </c>
      <c r="AA2405">
        <f>IF(Z2405="","",IF(MATCH(SUBSTITUTE(SUBSTITUTE(SUBSTITUTE(Z2405,"~","~~"),"*","~*"),"?","~?"),$Z$5:$Z$5004,0)=2401,MAX($AA$4:AA2404)+1,""))</f>
        <v/>
      </c>
    </row>
    <row r="2406" spans="1:27">
      <c r="A2406" s="9"/>
      <c r="Z2406">
        <f>TRIM(A2406&amp;"")</f>
        <v/>
      </c>
      <c r="AA2406">
        <f>IF(Z2406="","",IF(MATCH(SUBSTITUTE(SUBSTITUTE(SUBSTITUTE(Z2406,"~","~~"),"*","~*"),"?","~?"),$Z$5:$Z$5004,0)=2402,MAX($AA$4:AA2405)+1,""))</f>
        <v/>
      </c>
    </row>
    <row r="2407" spans="1:27">
      <c r="A2407" s="9"/>
      <c r="Z2407">
        <f>TRIM(A2407&amp;"")</f>
        <v/>
      </c>
      <c r="AA2407">
        <f>IF(Z2407="","",IF(MATCH(SUBSTITUTE(SUBSTITUTE(SUBSTITUTE(Z2407,"~","~~"),"*","~*"),"?","~?"),$Z$5:$Z$5004,0)=2403,MAX($AA$4:AA2406)+1,""))</f>
        <v/>
      </c>
    </row>
    <row r="2408" spans="1:27">
      <c r="A2408" s="9"/>
      <c r="Z2408">
        <f>TRIM(A2408&amp;"")</f>
        <v/>
      </c>
      <c r="AA2408">
        <f>IF(Z2408="","",IF(MATCH(SUBSTITUTE(SUBSTITUTE(SUBSTITUTE(Z2408,"~","~~"),"*","~*"),"?","~?"),$Z$5:$Z$5004,0)=2404,MAX($AA$4:AA2407)+1,""))</f>
        <v/>
      </c>
    </row>
    <row r="2409" spans="1:27">
      <c r="A2409" s="9"/>
      <c r="Z2409">
        <f>TRIM(A2409&amp;"")</f>
        <v/>
      </c>
      <c r="AA2409">
        <f>IF(Z2409="","",IF(MATCH(SUBSTITUTE(SUBSTITUTE(SUBSTITUTE(Z2409,"~","~~"),"*","~*"),"?","~?"),$Z$5:$Z$5004,0)=2405,MAX($AA$4:AA2408)+1,""))</f>
        <v/>
      </c>
    </row>
    <row r="2410" spans="1:27">
      <c r="A2410" s="9"/>
      <c r="Z2410">
        <f>TRIM(A2410&amp;"")</f>
        <v/>
      </c>
      <c r="AA2410">
        <f>IF(Z2410="","",IF(MATCH(SUBSTITUTE(SUBSTITUTE(SUBSTITUTE(Z2410,"~","~~"),"*","~*"),"?","~?"),$Z$5:$Z$5004,0)=2406,MAX($AA$4:AA2409)+1,""))</f>
        <v/>
      </c>
    </row>
    <row r="2411" spans="1:27">
      <c r="A2411" s="9"/>
      <c r="Z2411">
        <f>TRIM(A2411&amp;"")</f>
        <v/>
      </c>
      <c r="AA2411">
        <f>IF(Z2411="","",IF(MATCH(SUBSTITUTE(SUBSTITUTE(SUBSTITUTE(Z2411,"~","~~"),"*","~*"),"?","~?"),$Z$5:$Z$5004,0)=2407,MAX($AA$4:AA2410)+1,""))</f>
        <v/>
      </c>
    </row>
    <row r="2412" spans="1:27">
      <c r="A2412" s="9"/>
      <c r="Z2412">
        <f>TRIM(A2412&amp;"")</f>
        <v/>
      </c>
      <c r="AA2412">
        <f>IF(Z2412="","",IF(MATCH(SUBSTITUTE(SUBSTITUTE(SUBSTITUTE(Z2412,"~","~~"),"*","~*"),"?","~?"),$Z$5:$Z$5004,0)=2408,MAX($AA$4:AA2411)+1,""))</f>
        <v/>
      </c>
    </row>
    <row r="2413" spans="1:27">
      <c r="A2413" s="9"/>
      <c r="Z2413">
        <f>TRIM(A2413&amp;"")</f>
        <v/>
      </c>
      <c r="AA2413">
        <f>IF(Z2413="","",IF(MATCH(SUBSTITUTE(SUBSTITUTE(SUBSTITUTE(Z2413,"~","~~"),"*","~*"),"?","~?"),$Z$5:$Z$5004,0)=2409,MAX($AA$4:AA2412)+1,""))</f>
        <v/>
      </c>
    </row>
    <row r="2414" spans="1:27">
      <c r="A2414" s="9"/>
      <c r="Z2414">
        <f>TRIM(A2414&amp;"")</f>
        <v/>
      </c>
      <c r="AA2414">
        <f>IF(Z2414="","",IF(MATCH(SUBSTITUTE(SUBSTITUTE(SUBSTITUTE(Z2414,"~","~~"),"*","~*"),"?","~?"),$Z$5:$Z$5004,0)=2410,MAX($AA$4:AA2413)+1,""))</f>
        <v/>
      </c>
    </row>
    <row r="2415" spans="1:27">
      <c r="A2415" s="9"/>
      <c r="Z2415">
        <f>TRIM(A2415&amp;"")</f>
        <v/>
      </c>
      <c r="AA2415">
        <f>IF(Z2415="","",IF(MATCH(SUBSTITUTE(SUBSTITUTE(SUBSTITUTE(Z2415,"~","~~"),"*","~*"),"?","~?"),$Z$5:$Z$5004,0)=2411,MAX($AA$4:AA2414)+1,""))</f>
        <v/>
      </c>
    </row>
    <row r="2416" spans="1:27">
      <c r="A2416" s="9"/>
      <c r="Z2416">
        <f>TRIM(A2416&amp;"")</f>
        <v/>
      </c>
      <c r="AA2416">
        <f>IF(Z2416="","",IF(MATCH(SUBSTITUTE(SUBSTITUTE(SUBSTITUTE(Z2416,"~","~~"),"*","~*"),"?","~?"),$Z$5:$Z$5004,0)=2412,MAX($AA$4:AA2415)+1,""))</f>
        <v/>
      </c>
    </row>
    <row r="2417" spans="1:27">
      <c r="A2417" s="9"/>
      <c r="Z2417">
        <f>TRIM(A2417&amp;"")</f>
        <v/>
      </c>
      <c r="AA2417">
        <f>IF(Z2417="","",IF(MATCH(SUBSTITUTE(SUBSTITUTE(SUBSTITUTE(Z2417,"~","~~"),"*","~*"),"?","~?"),$Z$5:$Z$5004,0)=2413,MAX($AA$4:AA2416)+1,""))</f>
        <v/>
      </c>
    </row>
    <row r="2418" spans="1:27">
      <c r="A2418" s="9"/>
      <c r="Z2418">
        <f>TRIM(A2418&amp;"")</f>
        <v/>
      </c>
      <c r="AA2418">
        <f>IF(Z2418="","",IF(MATCH(SUBSTITUTE(SUBSTITUTE(SUBSTITUTE(Z2418,"~","~~"),"*","~*"),"?","~?"),$Z$5:$Z$5004,0)=2414,MAX($AA$4:AA2417)+1,""))</f>
        <v/>
      </c>
    </row>
    <row r="2419" spans="1:27">
      <c r="A2419" s="9"/>
      <c r="Z2419">
        <f>TRIM(A2419&amp;"")</f>
        <v/>
      </c>
      <c r="AA2419">
        <f>IF(Z2419="","",IF(MATCH(SUBSTITUTE(SUBSTITUTE(SUBSTITUTE(Z2419,"~","~~"),"*","~*"),"?","~?"),$Z$5:$Z$5004,0)=2415,MAX($AA$4:AA2418)+1,""))</f>
        <v/>
      </c>
    </row>
    <row r="2420" spans="1:27">
      <c r="A2420" s="9"/>
      <c r="Z2420">
        <f>TRIM(A2420&amp;"")</f>
        <v/>
      </c>
      <c r="AA2420">
        <f>IF(Z2420="","",IF(MATCH(SUBSTITUTE(SUBSTITUTE(SUBSTITUTE(Z2420,"~","~~"),"*","~*"),"?","~?"),$Z$5:$Z$5004,0)=2416,MAX($AA$4:AA2419)+1,""))</f>
        <v/>
      </c>
    </row>
    <row r="2421" spans="1:27">
      <c r="A2421" s="9"/>
      <c r="Z2421">
        <f>TRIM(A2421&amp;"")</f>
        <v/>
      </c>
      <c r="AA2421">
        <f>IF(Z2421="","",IF(MATCH(SUBSTITUTE(SUBSTITUTE(SUBSTITUTE(Z2421,"~","~~"),"*","~*"),"?","~?"),$Z$5:$Z$5004,0)=2417,MAX($AA$4:AA2420)+1,""))</f>
        <v/>
      </c>
    </row>
    <row r="2422" spans="1:27">
      <c r="A2422" s="9"/>
      <c r="Z2422">
        <f>TRIM(A2422&amp;"")</f>
        <v/>
      </c>
      <c r="AA2422">
        <f>IF(Z2422="","",IF(MATCH(SUBSTITUTE(SUBSTITUTE(SUBSTITUTE(Z2422,"~","~~"),"*","~*"),"?","~?"),$Z$5:$Z$5004,0)=2418,MAX($AA$4:AA2421)+1,""))</f>
        <v/>
      </c>
    </row>
    <row r="2423" spans="1:27">
      <c r="A2423" s="9"/>
      <c r="Z2423">
        <f>TRIM(A2423&amp;"")</f>
        <v/>
      </c>
      <c r="AA2423">
        <f>IF(Z2423="","",IF(MATCH(SUBSTITUTE(SUBSTITUTE(SUBSTITUTE(Z2423,"~","~~"),"*","~*"),"?","~?"),$Z$5:$Z$5004,0)=2419,MAX($AA$4:AA2422)+1,""))</f>
        <v/>
      </c>
    </row>
    <row r="2424" spans="1:27">
      <c r="A2424" s="9"/>
      <c r="Z2424">
        <f>TRIM(A2424&amp;"")</f>
        <v/>
      </c>
      <c r="AA2424">
        <f>IF(Z2424="","",IF(MATCH(SUBSTITUTE(SUBSTITUTE(SUBSTITUTE(Z2424,"~","~~"),"*","~*"),"?","~?"),$Z$5:$Z$5004,0)=2420,MAX($AA$4:AA2423)+1,""))</f>
        <v/>
      </c>
    </row>
    <row r="2425" spans="1:27">
      <c r="A2425" s="9"/>
      <c r="Z2425">
        <f>TRIM(A2425&amp;"")</f>
        <v/>
      </c>
      <c r="AA2425">
        <f>IF(Z2425="","",IF(MATCH(SUBSTITUTE(SUBSTITUTE(SUBSTITUTE(Z2425,"~","~~"),"*","~*"),"?","~?"),$Z$5:$Z$5004,0)=2421,MAX($AA$4:AA2424)+1,""))</f>
        <v/>
      </c>
    </row>
    <row r="2426" spans="1:27">
      <c r="A2426" s="9"/>
      <c r="Z2426">
        <f>TRIM(A2426&amp;"")</f>
        <v/>
      </c>
      <c r="AA2426">
        <f>IF(Z2426="","",IF(MATCH(SUBSTITUTE(SUBSTITUTE(SUBSTITUTE(Z2426,"~","~~"),"*","~*"),"?","~?"),$Z$5:$Z$5004,0)=2422,MAX($AA$4:AA2425)+1,""))</f>
        <v/>
      </c>
    </row>
    <row r="2427" spans="1:27">
      <c r="A2427" s="9"/>
      <c r="Z2427">
        <f>TRIM(A2427&amp;"")</f>
        <v/>
      </c>
      <c r="AA2427">
        <f>IF(Z2427="","",IF(MATCH(SUBSTITUTE(SUBSTITUTE(SUBSTITUTE(Z2427,"~","~~"),"*","~*"),"?","~?"),$Z$5:$Z$5004,0)=2423,MAX($AA$4:AA2426)+1,""))</f>
        <v/>
      </c>
    </row>
    <row r="2428" spans="1:27">
      <c r="A2428" s="9"/>
      <c r="Z2428">
        <f>TRIM(A2428&amp;"")</f>
        <v/>
      </c>
      <c r="AA2428">
        <f>IF(Z2428="","",IF(MATCH(SUBSTITUTE(SUBSTITUTE(SUBSTITUTE(Z2428,"~","~~"),"*","~*"),"?","~?"),$Z$5:$Z$5004,0)=2424,MAX($AA$4:AA2427)+1,""))</f>
        <v/>
      </c>
    </row>
    <row r="2429" spans="1:27">
      <c r="A2429" s="9"/>
      <c r="Z2429">
        <f>TRIM(A2429&amp;"")</f>
        <v/>
      </c>
      <c r="AA2429">
        <f>IF(Z2429="","",IF(MATCH(SUBSTITUTE(SUBSTITUTE(SUBSTITUTE(Z2429,"~","~~"),"*","~*"),"?","~?"),$Z$5:$Z$5004,0)=2425,MAX($AA$4:AA2428)+1,""))</f>
        <v/>
      </c>
    </row>
    <row r="2430" spans="1:27">
      <c r="A2430" s="9"/>
      <c r="Z2430">
        <f>TRIM(A2430&amp;"")</f>
        <v/>
      </c>
      <c r="AA2430">
        <f>IF(Z2430="","",IF(MATCH(SUBSTITUTE(SUBSTITUTE(SUBSTITUTE(Z2430,"~","~~"),"*","~*"),"?","~?"),$Z$5:$Z$5004,0)=2426,MAX($AA$4:AA2429)+1,""))</f>
        <v/>
      </c>
    </row>
    <row r="2431" spans="1:27">
      <c r="A2431" s="9"/>
      <c r="Z2431">
        <f>TRIM(A2431&amp;"")</f>
        <v/>
      </c>
      <c r="AA2431">
        <f>IF(Z2431="","",IF(MATCH(SUBSTITUTE(SUBSTITUTE(SUBSTITUTE(Z2431,"~","~~"),"*","~*"),"?","~?"),$Z$5:$Z$5004,0)=2427,MAX($AA$4:AA2430)+1,""))</f>
        <v/>
      </c>
    </row>
    <row r="2432" spans="1:27">
      <c r="A2432" s="9"/>
      <c r="Z2432">
        <f>TRIM(A2432&amp;"")</f>
        <v/>
      </c>
      <c r="AA2432">
        <f>IF(Z2432="","",IF(MATCH(SUBSTITUTE(SUBSTITUTE(SUBSTITUTE(Z2432,"~","~~"),"*","~*"),"?","~?"),$Z$5:$Z$5004,0)=2428,MAX($AA$4:AA2431)+1,""))</f>
        <v/>
      </c>
    </row>
    <row r="2433" spans="1:27">
      <c r="A2433" s="9"/>
      <c r="Z2433">
        <f>TRIM(A2433&amp;"")</f>
        <v/>
      </c>
      <c r="AA2433">
        <f>IF(Z2433="","",IF(MATCH(SUBSTITUTE(SUBSTITUTE(SUBSTITUTE(Z2433,"~","~~"),"*","~*"),"?","~?"),$Z$5:$Z$5004,0)=2429,MAX($AA$4:AA2432)+1,""))</f>
        <v/>
      </c>
    </row>
    <row r="2434" spans="1:27">
      <c r="A2434" s="9"/>
      <c r="Z2434">
        <f>TRIM(A2434&amp;"")</f>
        <v/>
      </c>
      <c r="AA2434">
        <f>IF(Z2434="","",IF(MATCH(SUBSTITUTE(SUBSTITUTE(SUBSTITUTE(Z2434,"~","~~"),"*","~*"),"?","~?"),$Z$5:$Z$5004,0)=2430,MAX($AA$4:AA2433)+1,""))</f>
        <v/>
      </c>
    </row>
    <row r="2435" spans="1:27">
      <c r="A2435" s="9"/>
      <c r="Z2435">
        <f>TRIM(A2435&amp;"")</f>
        <v/>
      </c>
      <c r="AA2435">
        <f>IF(Z2435="","",IF(MATCH(SUBSTITUTE(SUBSTITUTE(SUBSTITUTE(Z2435,"~","~~"),"*","~*"),"?","~?"),$Z$5:$Z$5004,0)=2431,MAX($AA$4:AA2434)+1,""))</f>
        <v/>
      </c>
    </row>
    <row r="2436" spans="1:27">
      <c r="A2436" s="9"/>
      <c r="Z2436">
        <f>TRIM(A2436&amp;"")</f>
        <v/>
      </c>
      <c r="AA2436">
        <f>IF(Z2436="","",IF(MATCH(SUBSTITUTE(SUBSTITUTE(SUBSTITUTE(Z2436,"~","~~"),"*","~*"),"?","~?"),$Z$5:$Z$5004,0)=2432,MAX($AA$4:AA2435)+1,""))</f>
        <v/>
      </c>
    </row>
    <row r="2437" spans="1:27">
      <c r="A2437" s="9"/>
      <c r="Z2437">
        <f>TRIM(A2437&amp;"")</f>
        <v/>
      </c>
      <c r="AA2437">
        <f>IF(Z2437="","",IF(MATCH(SUBSTITUTE(SUBSTITUTE(SUBSTITUTE(Z2437,"~","~~"),"*","~*"),"?","~?"),$Z$5:$Z$5004,0)=2433,MAX($AA$4:AA2436)+1,""))</f>
        <v/>
      </c>
    </row>
    <row r="2438" spans="1:27">
      <c r="A2438" s="9"/>
      <c r="Z2438">
        <f>TRIM(A2438&amp;"")</f>
        <v/>
      </c>
      <c r="AA2438">
        <f>IF(Z2438="","",IF(MATCH(SUBSTITUTE(SUBSTITUTE(SUBSTITUTE(Z2438,"~","~~"),"*","~*"),"?","~?"),$Z$5:$Z$5004,0)=2434,MAX($AA$4:AA2437)+1,""))</f>
        <v/>
      </c>
    </row>
    <row r="2439" spans="1:27">
      <c r="A2439" s="9"/>
      <c r="Z2439">
        <f>TRIM(A2439&amp;"")</f>
        <v/>
      </c>
      <c r="AA2439">
        <f>IF(Z2439="","",IF(MATCH(SUBSTITUTE(SUBSTITUTE(SUBSTITUTE(Z2439,"~","~~"),"*","~*"),"?","~?"),$Z$5:$Z$5004,0)=2435,MAX($AA$4:AA2438)+1,""))</f>
        <v/>
      </c>
    </row>
    <row r="2440" spans="1:27">
      <c r="A2440" s="9"/>
      <c r="Z2440">
        <f>TRIM(A2440&amp;"")</f>
        <v/>
      </c>
      <c r="AA2440">
        <f>IF(Z2440="","",IF(MATCH(SUBSTITUTE(SUBSTITUTE(SUBSTITUTE(Z2440,"~","~~"),"*","~*"),"?","~?"),$Z$5:$Z$5004,0)=2436,MAX($AA$4:AA2439)+1,""))</f>
        <v/>
      </c>
    </row>
    <row r="2441" spans="1:27">
      <c r="A2441" s="9"/>
      <c r="Z2441">
        <f>TRIM(A2441&amp;"")</f>
        <v/>
      </c>
      <c r="AA2441">
        <f>IF(Z2441="","",IF(MATCH(SUBSTITUTE(SUBSTITUTE(SUBSTITUTE(Z2441,"~","~~"),"*","~*"),"?","~?"),$Z$5:$Z$5004,0)=2437,MAX($AA$4:AA2440)+1,""))</f>
        <v/>
      </c>
    </row>
    <row r="2442" spans="1:27">
      <c r="A2442" s="9"/>
      <c r="Z2442">
        <f>TRIM(A2442&amp;"")</f>
        <v/>
      </c>
      <c r="AA2442">
        <f>IF(Z2442="","",IF(MATCH(SUBSTITUTE(SUBSTITUTE(SUBSTITUTE(Z2442,"~","~~"),"*","~*"),"?","~?"),$Z$5:$Z$5004,0)=2438,MAX($AA$4:AA2441)+1,""))</f>
        <v/>
      </c>
    </row>
    <row r="2443" spans="1:27">
      <c r="A2443" s="9"/>
      <c r="Z2443">
        <f>TRIM(A2443&amp;"")</f>
        <v/>
      </c>
      <c r="AA2443">
        <f>IF(Z2443="","",IF(MATCH(SUBSTITUTE(SUBSTITUTE(SUBSTITUTE(Z2443,"~","~~"),"*","~*"),"?","~?"),$Z$5:$Z$5004,0)=2439,MAX($AA$4:AA2442)+1,""))</f>
        <v/>
      </c>
    </row>
    <row r="2444" spans="1:27">
      <c r="A2444" s="9"/>
      <c r="Z2444">
        <f>TRIM(A2444&amp;"")</f>
        <v/>
      </c>
      <c r="AA2444">
        <f>IF(Z2444="","",IF(MATCH(SUBSTITUTE(SUBSTITUTE(SUBSTITUTE(Z2444,"~","~~"),"*","~*"),"?","~?"),$Z$5:$Z$5004,0)=2440,MAX($AA$4:AA2443)+1,""))</f>
        <v/>
      </c>
    </row>
    <row r="2445" spans="1:27">
      <c r="A2445" s="9"/>
      <c r="Z2445">
        <f>TRIM(A2445&amp;"")</f>
        <v/>
      </c>
      <c r="AA2445">
        <f>IF(Z2445="","",IF(MATCH(SUBSTITUTE(SUBSTITUTE(SUBSTITUTE(Z2445,"~","~~"),"*","~*"),"?","~?"),$Z$5:$Z$5004,0)=2441,MAX($AA$4:AA2444)+1,""))</f>
        <v/>
      </c>
    </row>
    <row r="2446" spans="1:27">
      <c r="A2446" s="9"/>
      <c r="Z2446">
        <f>TRIM(A2446&amp;"")</f>
        <v/>
      </c>
      <c r="AA2446">
        <f>IF(Z2446="","",IF(MATCH(SUBSTITUTE(SUBSTITUTE(SUBSTITUTE(Z2446,"~","~~"),"*","~*"),"?","~?"),$Z$5:$Z$5004,0)=2442,MAX($AA$4:AA2445)+1,""))</f>
        <v/>
      </c>
    </row>
    <row r="2447" spans="1:27">
      <c r="A2447" s="9"/>
      <c r="Z2447">
        <f>TRIM(A2447&amp;"")</f>
        <v/>
      </c>
      <c r="AA2447">
        <f>IF(Z2447="","",IF(MATCH(SUBSTITUTE(SUBSTITUTE(SUBSTITUTE(Z2447,"~","~~"),"*","~*"),"?","~?"),$Z$5:$Z$5004,0)=2443,MAX($AA$4:AA2446)+1,""))</f>
        <v/>
      </c>
    </row>
    <row r="2448" spans="1:27">
      <c r="A2448" s="9"/>
      <c r="Z2448">
        <f>TRIM(A2448&amp;"")</f>
        <v/>
      </c>
      <c r="AA2448">
        <f>IF(Z2448="","",IF(MATCH(SUBSTITUTE(SUBSTITUTE(SUBSTITUTE(Z2448,"~","~~"),"*","~*"),"?","~?"),$Z$5:$Z$5004,0)=2444,MAX($AA$4:AA2447)+1,""))</f>
        <v/>
      </c>
    </row>
    <row r="2449" spans="1:27">
      <c r="A2449" s="9"/>
      <c r="Z2449">
        <f>TRIM(A2449&amp;"")</f>
        <v/>
      </c>
      <c r="AA2449">
        <f>IF(Z2449="","",IF(MATCH(SUBSTITUTE(SUBSTITUTE(SUBSTITUTE(Z2449,"~","~~"),"*","~*"),"?","~?"),$Z$5:$Z$5004,0)=2445,MAX($AA$4:AA2448)+1,""))</f>
        <v/>
      </c>
    </row>
    <row r="2450" spans="1:27">
      <c r="A2450" s="9"/>
      <c r="Z2450">
        <f>TRIM(A2450&amp;"")</f>
        <v/>
      </c>
      <c r="AA2450">
        <f>IF(Z2450="","",IF(MATCH(SUBSTITUTE(SUBSTITUTE(SUBSTITUTE(Z2450,"~","~~"),"*","~*"),"?","~?"),$Z$5:$Z$5004,0)=2446,MAX($AA$4:AA2449)+1,""))</f>
        <v/>
      </c>
    </row>
    <row r="2451" spans="1:27">
      <c r="A2451" s="9"/>
      <c r="Z2451">
        <f>TRIM(A2451&amp;"")</f>
        <v/>
      </c>
      <c r="AA2451">
        <f>IF(Z2451="","",IF(MATCH(SUBSTITUTE(SUBSTITUTE(SUBSTITUTE(Z2451,"~","~~"),"*","~*"),"?","~?"),$Z$5:$Z$5004,0)=2447,MAX($AA$4:AA2450)+1,""))</f>
        <v/>
      </c>
    </row>
    <row r="2452" spans="1:27">
      <c r="A2452" s="9"/>
      <c r="Z2452">
        <f>TRIM(A2452&amp;"")</f>
        <v/>
      </c>
      <c r="AA2452">
        <f>IF(Z2452="","",IF(MATCH(SUBSTITUTE(SUBSTITUTE(SUBSTITUTE(Z2452,"~","~~"),"*","~*"),"?","~?"),$Z$5:$Z$5004,0)=2448,MAX($AA$4:AA2451)+1,""))</f>
        <v/>
      </c>
    </row>
    <row r="2453" spans="1:27">
      <c r="A2453" s="9"/>
      <c r="Z2453">
        <f>TRIM(A2453&amp;"")</f>
        <v/>
      </c>
      <c r="AA2453">
        <f>IF(Z2453="","",IF(MATCH(SUBSTITUTE(SUBSTITUTE(SUBSTITUTE(Z2453,"~","~~"),"*","~*"),"?","~?"),$Z$5:$Z$5004,0)=2449,MAX($AA$4:AA2452)+1,""))</f>
        <v/>
      </c>
    </row>
    <row r="2454" spans="1:27">
      <c r="A2454" s="9"/>
      <c r="Z2454">
        <f>TRIM(A2454&amp;"")</f>
        <v/>
      </c>
      <c r="AA2454">
        <f>IF(Z2454="","",IF(MATCH(SUBSTITUTE(SUBSTITUTE(SUBSTITUTE(Z2454,"~","~~"),"*","~*"),"?","~?"),$Z$5:$Z$5004,0)=2450,MAX($AA$4:AA2453)+1,""))</f>
        <v/>
      </c>
    </row>
    <row r="2455" spans="1:27">
      <c r="A2455" s="9"/>
      <c r="Z2455">
        <f>TRIM(A2455&amp;"")</f>
        <v/>
      </c>
      <c r="AA2455">
        <f>IF(Z2455="","",IF(MATCH(SUBSTITUTE(SUBSTITUTE(SUBSTITUTE(Z2455,"~","~~"),"*","~*"),"?","~?"),$Z$5:$Z$5004,0)=2451,MAX($AA$4:AA2454)+1,""))</f>
        <v/>
      </c>
    </row>
    <row r="2456" spans="1:27">
      <c r="A2456" s="9"/>
      <c r="Z2456">
        <f>TRIM(A2456&amp;"")</f>
        <v/>
      </c>
      <c r="AA2456">
        <f>IF(Z2456="","",IF(MATCH(SUBSTITUTE(SUBSTITUTE(SUBSTITUTE(Z2456,"~","~~"),"*","~*"),"?","~?"),$Z$5:$Z$5004,0)=2452,MAX($AA$4:AA2455)+1,""))</f>
        <v/>
      </c>
    </row>
    <row r="2457" spans="1:27">
      <c r="A2457" s="9"/>
      <c r="Z2457">
        <f>TRIM(A2457&amp;"")</f>
        <v/>
      </c>
      <c r="AA2457">
        <f>IF(Z2457="","",IF(MATCH(SUBSTITUTE(SUBSTITUTE(SUBSTITUTE(Z2457,"~","~~"),"*","~*"),"?","~?"),$Z$5:$Z$5004,0)=2453,MAX($AA$4:AA2456)+1,""))</f>
        <v/>
      </c>
    </row>
    <row r="2458" spans="1:27">
      <c r="A2458" s="9"/>
      <c r="Z2458">
        <f>TRIM(A2458&amp;"")</f>
        <v/>
      </c>
      <c r="AA2458">
        <f>IF(Z2458="","",IF(MATCH(SUBSTITUTE(SUBSTITUTE(SUBSTITUTE(Z2458,"~","~~"),"*","~*"),"?","~?"),$Z$5:$Z$5004,0)=2454,MAX($AA$4:AA2457)+1,""))</f>
        <v/>
      </c>
    </row>
    <row r="2459" spans="1:27">
      <c r="A2459" s="9"/>
      <c r="Z2459">
        <f>TRIM(A2459&amp;"")</f>
        <v/>
      </c>
      <c r="AA2459">
        <f>IF(Z2459="","",IF(MATCH(SUBSTITUTE(SUBSTITUTE(SUBSTITUTE(Z2459,"~","~~"),"*","~*"),"?","~?"),$Z$5:$Z$5004,0)=2455,MAX($AA$4:AA2458)+1,""))</f>
        <v/>
      </c>
    </row>
    <row r="2460" spans="1:27">
      <c r="A2460" s="9"/>
      <c r="Z2460">
        <f>TRIM(A2460&amp;"")</f>
        <v/>
      </c>
      <c r="AA2460">
        <f>IF(Z2460="","",IF(MATCH(SUBSTITUTE(SUBSTITUTE(SUBSTITUTE(Z2460,"~","~~"),"*","~*"),"?","~?"),$Z$5:$Z$5004,0)=2456,MAX($AA$4:AA2459)+1,""))</f>
        <v/>
      </c>
    </row>
    <row r="2461" spans="1:27">
      <c r="A2461" s="9"/>
      <c r="Z2461">
        <f>TRIM(A2461&amp;"")</f>
        <v/>
      </c>
      <c r="AA2461">
        <f>IF(Z2461="","",IF(MATCH(SUBSTITUTE(SUBSTITUTE(SUBSTITUTE(Z2461,"~","~~"),"*","~*"),"?","~?"),$Z$5:$Z$5004,0)=2457,MAX($AA$4:AA2460)+1,""))</f>
        <v/>
      </c>
    </row>
    <row r="2462" spans="1:27">
      <c r="A2462" s="9"/>
      <c r="Z2462">
        <f>TRIM(A2462&amp;"")</f>
        <v/>
      </c>
      <c r="AA2462">
        <f>IF(Z2462="","",IF(MATCH(SUBSTITUTE(SUBSTITUTE(SUBSTITUTE(Z2462,"~","~~"),"*","~*"),"?","~?"),$Z$5:$Z$5004,0)=2458,MAX($AA$4:AA2461)+1,""))</f>
        <v/>
      </c>
    </row>
    <row r="2463" spans="1:27">
      <c r="A2463" s="9"/>
      <c r="Z2463">
        <f>TRIM(A2463&amp;"")</f>
        <v/>
      </c>
      <c r="AA2463">
        <f>IF(Z2463="","",IF(MATCH(SUBSTITUTE(SUBSTITUTE(SUBSTITUTE(Z2463,"~","~~"),"*","~*"),"?","~?"),$Z$5:$Z$5004,0)=2459,MAX($AA$4:AA2462)+1,""))</f>
        <v/>
      </c>
    </row>
    <row r="2464" spans="1:27">
      <c r="A2464" s="9"/>
      <c r="Z2464">
        <f>TRIM(A2464&amp;"")</f>
        <v/>
      </c>
      <c r="AA2464">
        <f>IF(Z2464="","",IF(MATCH(SUBSTITUTE(SUBSTITUTE(SUBSTITUTE(Z2464,"~","~~"),"*","~*"),"?","~?"),$Z$5:$Z$5004,0)=2460,MAX($AA$4:AA2463)+1,""))</f>
        <v/>
      </c>
    </row>
    <row r="2465" spans="1:27">
      <c r="A2465" s="9"/>
      <c r="Z2465">
        <f>TRIM(A2465&amp;"")</f>
        <v/>
      </c>
      <c r="AA2465">
        <f>IF(Z2465="","",IF(MATCH(SUBSTITUTE(SUBSTITUTE(SUBSTITUTE(Z2465,"~","~~"),"*","~*"),"?","~?"),$Z$5:$Z$5004,0)=2461,MAX($AA$4:AA2464)+1,""))</f>
        <v/>
      </c>
    </row>
    <row r="2466" spans="1:27">
      <c r="A2466" s="9"/>
      <c r="Z2466">
        <f>TRIM(A2466&amp;"")</f>
        <v/>
      </c>
      <c r="AA2466">
        <f>IF(Z2466="","",IF(MATCH(SUBSTITUTE(SUBSTITUTE(SUBSTITUTE(Z2466,"~","~~"),"*","~*"),"?","~?"),$Z$5:$Z$5004,0)=2462,MAX($AA$4:AA2465)+1,""))</f>
        <v/>
      </c>
    </row>
    <row r="2467" spans="1:27">
      <c r="A2467" s="9"/>
      <c r="Z2467">
        <f>TRIM(A2467&amp;"")</f>
        <v/>
      </c>
      <c r="AA2467">
        <f>IF(Z2467="","",IF(MATCH(SUBSTITUTE(SUBSTITUTE(SUBSTITUTE(Z2467,"~","~~"),"*","~*"),"?","~?"),$Z$5:$Z$5004,0)=2463,MAX($AA$4:AA2466)+1,""))</f>
        <v/>
      </c>
    </row>
    <row r="2468" spans="1:27">
      <c r="A2468" s="9"/>
      <c r="Z2468">
        <f>TRIM(A2468&amp;"")</f>
        <v/>
      </c>
      <c r="AA2468">
        <f>IF(Z2468="","",IF(MATCH(SUBSTITUTE(SUBSTITUTE(SUBSTITUTE(Z2468,"~","~~"),"*","~*"),"?","~?"),$Z$5:$Z$5004,0)=2464,MAX($AA$4:AA2467)+1,""))</f>
        <v/>
      </c>
    </row>
    <row r="2469" spans="1:27">
      <c r="A2469" s="9"/>
      <c r="Z2469">
        <f>TRIM(A2469&amp;"")</f>
        <v/>
      </c>
      <c r="AA2469">
        <f>IF(Z2469="","",IF(MATCH(SUBSTITUTE(SUBSTITUTE(SUBSTITUTE(Z2469,"~","~~"),"*","~*"),"?","~?"),$Z$5:$Z$5004,0)=2465,MAX($AA$4:AA2468)+1,""))</f>
        <v/>
      </c>
    </row>
    <row r="2470" spans="1:27">
      <c r="A2470" s="9"/>
      <c r="Z2470">
        <f>TRIM(A2470&amp;"")</f>
        <v/>
      </c>
      <c r="AA2470">
        <f>IF(Z2470="","",IF(MATCH(SUBSTITUTE(SUBSTITUTE(SUBSTITUTE(Z2470,"~","~~"),"*","~*"),"?","~?"),$Z$5:$Z$5004,0)=2466,MAX($AA$4:AA2469)+1,""))</f>
        <v/>
      </c>
    </row>
    <row r="2471" spans="1:27">
      <c r="A2471" s="9"/>
      <c r="Z2471">
        <f>TRIM(A2471&amp;"")</f>
        <v/>
      </c>
      <c r="AA2471">
        <f>IF(Z2471="","",IF(MATCH(SUBSTITUTE(SUBSTITUTE(SUBSTITUTE(Z2471,"~","~~"),"*","~*"),"?","~?"),$Z$5:$Z$5004,0)=2467,MAX($AA$4:AA2470)+1,""))</f>
        <v/>
      </c>
    </row>
    <row r="2472" spans="1:27">
      <c r="A2472" s="9"/>
      <c r="Z2472">
        <f>TRIM(A2472&amp;"")</f>
        <v/>
      </c>
      <c r="AA2472">
        <f>IF(Z2472="","",IF(MATCH(SUBSTITUTE(SUBSTITUTE(SUBSTITUTE(Z2472,"~","~~"),"*","~*"),"?","~?"),$Z$5:$Z$5004,0)=2468,MAX($AA$4:AA2471)+1,""))</f>
        <v/>
      </c>
    </row>
    <row r="2473" spans="1:27">
      <c r="A2473" s="9"/>
      <c r="Z2473">
        <f>TRIM(A2473&amp;"")</f>
        <v/>
      </c>
      <c r="AA2473">
        <f>IF(Z2473="","",IF(MATCH(SUBSTITUTE(SUBSTITUTE(SUBSTITUTE(Z2473,"~","~~"),"*","~*"),"?","~?"),$Z$5:$Z$5004,0)=2469,MAX($AA$4:AA2472)+1,""))</f>
        <v/>
      </c>
    </row>
    <row r="2474" spans="1:27">
      <c r="A2474" s="9"/>
      <c r="Z2474">
        <f>TRIM(A2474&amp;"")</f>
        <v/>
      </c>
      <c r="AA2474">
        <f>IF(Z2474="","",IF(MATCH(SUBSTITUTE(SUBSTITUTE(SUBSTITUTE(Z2474,"~","~~"),"*","~*"),"?","~?"),$Z$5:$Z$5004,0)=2470,MAX($AA$4:AA2473)+1,""))</f>
        <v/>
      </c>
    </row>
    <row r="2475" spans="1:27">
      <c r="A2475" s="9"/>
      <c r="Z2475">
        <f>TRIM(A2475&amp;"")</f>
        <v/>
      </c>
      <c r="AA2475">
        <f>IF(Z2475="","",IF(MATCH(SUBSTITUTE(SUBSTITUTE(SUBSTITUTE(Z2475,"~","~~"),"*","~*"),"?","~?"),$Z$5:$Z$5004,0)=2471,MAX($AA$4:AA2474)+1,""))</f>
        <v/>
      </c>
    </row>
    <row r="2476" spans="1:27">
      <c r="A2476" s="9"/>
      <c r="Z2476">
        <f>TRIM(A2476&amp;"")</f>
        <v/>
      </c>
      <c r="AA2476">
        <f>IF(Z2476="","",IF(MATCH(SUBSTITUTE(SUBSTITUTE(SUBSTITUTE(Z2476,"~","~~"),"*","~*"),"?","~?"),$Z$5:$Z$5004,0)=2472,MAX($AA$4:AA2475)+1,""))</f>
        <v/>
      </c>
    </row>
    <row r="2477" spans="1:27">
      <c r="A2477" s="9"/>
      <c r="Z2477">
        <f>TRIM(A2477&amp;"")</f>
        <v/>
      </c>
      <c r="AA2477">
        <f>IF(Z2477="","",IF(MATCH(SUBSTITUTE(SUBSTITUTE(SUBSTITUTE(Z2477,"~","~~"),"*","~*"),"?","~?"),$Z$5:$Z$5004,0)=2473,MAX($AA$4:AA2476)+1,""))</f>
        <v/>
      </c>
    </row>
    <row r="2478" spans="1:27">
      <c r="A2478" s="9"/>
      <c r="Z2478">
        <f>TRIM(A2478&amp;"")</f>
        <v/>
      </c>
      <c r="AA2478">
        <f>IF(Z2478="","",IF(MATCH(SUBSTITUTE(SUBSTITUTE(SUBSTITUTE(Z2478,"~","~~"),"*","~*"),"?","~?"),$Z$5:$Z$5004,0)=2474,MAX($AA$4:AA2477)+1,""))</f>
        <v/>
      </c>
    </row>
    <row r="2479" spans="1:27">
      <c r="A2479" s="9"/>
      <c r="Z2479">
        <f>TRIM(A2479&amp;"")</f>
        <v/>
      </c>
      <c r="AA2479">
        <f>IF(Z2479="","",IF(MATCH(SUBSTITUTE(SUBSTITUTE(SUBSTITUTE(Z2479,"~","~~"),"*","~*"),"?","~?"),$Z$5:$Z$5004,0)=2475,MAX($AA$4:AA2478)+1,""))</f>
        <v/>
      </c>
    </row>
    <row r="2480" spans="1:27">
      <c r="A2480" s="9"/>
      <c r="Z2480">
        <f>TRIM(A2480&amp;"")</f>
        <v/>
      </c>
      <c r="AA2480">
        <f>IF(Z2480="","",IF(MATCH(SUBSTITUTE(SUBSTITUTE(SUBSTITUTE(Z2480,"~","~~"),"*","~*"),"?","~?"),$Z$5:$Z$5004,0)=2476,MAX($AA$4:AA2479)+1,""))</f>
        <v/>
      </c>
    </row>
    <row r="2481" spans="1:27">
      <c r="A2481" s="9"/>
      <c r="Z2481">
        <f>TRIM(A2481&amp;"")</f>
        <v/>
      </c>
      <c r="AA2481">
        <f>IF(Z2481="","",IF(MATCH(SUBSTITUTE(SUBSTITUTE(SUBSTITUTE(Z2481,"~","~~"),"*","~*"),"?","~?"),$Z$5:$Z$5004,0)=2477,MAX($AA$4:AA2480)+1,""))</f>
        <v/>
      </c>
    </row>
    <row r="2482" spans="1:27">
      <c r="A2482" s="9"/>
      <c r="Z2482">
        <f>TRIM(A2482&amp;"")</f>
        <v/>
      </c>
      <c r="AA2482">
        <f>IF(Z2482="","",IF(MATCH(SUBSTITUTE(SUBSTITUTE(SUBSTITUTE(Z2482,"~","~~"),"*","~*"),"?","~?"),$Z$5:$Z$5004,0)=2478,MAX($AA$4:AA2481)+1,""))</f>
        <v/>
      </c>
    </row>
    <row r="2483" spans="1:27">
      <c r="A2483" s="9"/>
      <c r="Z2483">
        <f>TRIM(A2483&amp;"")</f>
        <v/>
      </c>
      <c r="AA2483">
        <f>IF(Z2483="","",IF(MATCH(SUBSTITUTE(SUBSTITUTE(SUBSTITUTE(Z2483,"~","~~"),"*","~*"),"?","~?"),$Z$5:$Z$5004,0)=2479,MAX($AA$4:AA2482)+1,""))</f>
        <v/>
      </c>
    </row>
    <row r="2484" spans="1:27">
      <c r="A2484" s="9"/>
      <c r="Z2484">
        <f>TRIM(A2484&amp;"")</f>
        <v/>
      </c>
      <c r="AA2484">
        <f>IF(Z2484="","",IF(MATCH(SUBSTITUTE(SUBSTITUTE(SUBSTITUTE(Z2484,"~","~~"),"*","~*"),"?","~?"),$Z$5:$Z$5004,0)=2480,MAX($AA$4:AA2483)+1,""))</f>
        <v/>
      </c>
    </row>
    <row r="2485" spans="1:27">
      <c r="A2485" s="9"/>
      <c r="Z2485">
        <f>TRIM(A2485&amp;"")</f>
        <v/>
      </c>
      <c r="AA2485">
        <f>IF(Z2485="","",IF(MATCH(SUBSTITUTE(SUBSTITUTE(SUBSTITUTE(Z2485,"~","~~"),"*","~*"),"?","~?"),$Z$5:$Z$5004,0)=2481,MAX($AA$4:AA2484)+1,""))</f>
        <v/>
      </c>
    </row>
    <row r="2486" spans="1:27">
      <c r="A2486" s="9"/>
      <c r="Z2486">
        <f>TRIM(A2486&amp;"")</f>
        <v/>
      </c>
      <c r="AA2486">
        <f>IF(Z2486="","",IF(MATCH(SUBSTITUTE(SUBSTITUTE(SUBSTITUTE(Z2486,"~","~~"),"*","~*"),"?","~?"),$Z$5:$Z$5004,0)=2482,MAX($AA$4:AA2485)+1,""))</f>
        <v/>
      </c>
    </row>
    <row r="2487" spans="1:27">
      <c r="A2487" s="9"/>
      <c r="Z2487">
        <f>TRIM(A2487&amp;"")</f>
        <v/>
      </c>
      <c r="AA2487">
        <f>IF(Z2487="","",IF(MATCH(SUBSTITUTE(SUBSTITUTE(SUBSTITUTE(Z2487,"~","~~"),"*","~*"),"?","~?"),$Z$5:$Z$5004,0)=2483,MAX($AA$4:AA2486)+1,""))</f>
        <v/>
      </c>
    </row>
    <row r="2488" spans="1:27">
      <c r="A2488" s="9"/>
      <c r="Z2488">
        <f>TRIM(A2488&amp;"")</f>
        <v/>
      </c>
      <c r="AA2488">
        <f>IF(Z2488="","",IF(MATCH(SUBSTITUTE(SUBSTITUTE(SUBSTITUTE(Z2488,"~","~~"),"*","~*"),"?","~?"),$Z$5:$Z$5004,0)=2484,MAX($AA$4:AA2487)+1,""))</f>
        <v/>
      </c>
    </row>
    <row r="2489" spans="1:27">
      <c r="A2489" s="9"/>
      <c r="Z2489">
        <f>TRIM(A2489&amp;"")</f>
        <v/>
      </c>
      <c r="AA2489">
        <f>IF(Z2489="","",IF(MATCH(SUBSTITUTE(SUBSTITUTE(SUBSTITUTE(Z2489,"~","~~"),"*","~*"),"?","~?"),$Z$5:$Z$5004,0)=2485,MAX($AA$4:AA2488)+1,""))</f>
        <v/>
      </c>
    </row>
    <row r="2490" spans="1:27">
      <c r="A2490" s="9"/>
      <c r="Z2490">
        <f>TRIM(A2490&amp;"")</f>
        <v/>
      </c>
      <c r="AA2490">
        <f>IF(Z2490="","",IF(MATCH(SUBSTITUTE(SUBSTITUTE(SUBSTITUTE(Z2490,"~","~~"),"*","~*"),"?","~?"),$Z$5:$Z$5004,0)=2486,MAX($AA$4:AA2489)+1,""))</f>
        <v/>
      </c>
    </row>
    <row r="2491" spans="1:27">
      <c r="A2491" s="9"/>
      <c r="Z2491">
        <f>TRIM(A2491&amp;"")</f>
        <v/>
      </c>
      <c r="AA2491">
        <f>IF(Z2491="","",IF(MATCH(SUBSTITUTE(SUBSTITUTE(SUBSTITUTE(Z2491,"~","~~"),"*","~*"),"?","~?"),$Z$5:$Z$5004,0)=2487,MAX($AA$4:AA2490)+1,""))</f>
        <v/>
      </c>
    </row>
    <row r="2492" spans="1:27">
      <c r="A2492" s="9"/>
      <c r="Z2492">
        <f>TRIM(A2492&amp;"")</f>
        <v/>
      </c>
      <c r="AA2492">
        <f>IF(Z2492="","",IF(MATCH(SUBSTITUTE(SUBSTITUTE(SUBSTITUTE(Z2492,"~","~~"),"*","~*"),"?","~?"),$Z$5:$Z$5004,0)=2488,MAX($AA$4:AA2491)+1,""))</f>
        <v/>
      </c>
    </row>
    <row r="2493" spans="1:27">
      <c r="A2493" s="9"/>
      <c r="Z2493">
        <f>TRIM(A2493&amp;"")</f>
        <v/>
      </c>
      <c r="AA2493">
        <f>IF(Z2493="","",IF(MATCH(SUBSTITUTE(SUBSTITUTE(SUBSTITUTE(Z2493,"~","~~"),"*","~*"),"?","~?"),$Z$5:$Z$5004,0)=2489,MAX($AA$4:AA2492)+1,""))</f>
        <v/>
      </c>
    </row>
    <row r="2494" spans="1:27">
      <c r="A2494" s="9"/>
      <c r="Z2494">
        <f>TRIM(A2494&amp;"")</f>
        <v/>
      </c>
      <c r="AA2494">
        <f>IF(Z2494="","",IF(MATCH(SUBSTITUTE(SUBSTITUTE(SUBSTITUTE(Z2494,"~","~~"),"*","~*"),"?","~?"),$Z$5:$Z$5004,0)=2490,MAX($AA$4:AA2493)+1,""))</f>
        <v/>
      </c>
    </row>
    <row r="2495" spans="1:27">
      <c r="A2495" s="9"/>
      <c r="Z2495">
        <f>TRIM(A2495&amp;"")</f>
        <v/>
      </c>
      <c r="AA2495">
        <f>IF(Z2495="","",IF(MATCH(SUBSTITUTE(SUBSTITUTE(SUBSTITUTE(Z2495,"~","~~"),"*","~*"),"?","~?"),$Z$5:$Z$5004,0)=2491,MAX($AA$4:AA2494)+1,""))</f>
        <v/>
      </c>
    </row>
    <row r="2496" spans="1:27">
      <c r="A2496" s="9"/>
      <c r="Z2496">
        <f>TRIM(A2496&amp;"")</f>
        <v/>
      </c>
      <c r="AA2496">
        <f>IF(Z2496="","",IF(MATCH(SUBSTITUTE(SUBSTITUTE(SUBSTITUTE(Z2496,"~","~~"),"*","~*"),"?","~?"),$Z$5:$Z$5004,0)=2492,MAX($AA$4:AA2495)+1,""))</f>
        <v/>
      </c>
    </row>
    <row r="2497" spans="1:27">
      <c r="A2497" s="9"/>
      <c r="Z2497">
        <f>TRIM(A2497&amp;"")</f>
        <v/>
      </c>
      <c r="AA2497">
        <f>IF(Z2497="","",IF(MATCH(SUBSTITUTE(SUBSTITUTE(SUBSTITUTE(Z2497,"~","~~"),"*","~*"),"?","~?"),$Z$5:$Z$5004,0)=2493,MAX($AA$4:AA2496)+1,""))</f>
        <v/>
      </c>
    </row>
    <row r="2498" spans="1:27">
      <c r="A2498" s="9"/>
      <c r="Z2498">
        <f>TRIM(A2498&amp;"")</f>
        <v/>
      </c>
      <c r="AA2498">
        <f>IF(Z2498="","",IF(MATCH(SUBSTITUTE(SUBSTITUTE(SUBSTITUTE(Z2498,"~","~~"),"*","~*"),"?","~?"),$Z$5:$Z$5004,0)=2494,MAX($AA$4:AA2497)+1,""))</f>
        <v/>
      </c>
    </row>
    <row r="2499" spans="1:27">
      <c r="A2499" s="9"/>
      <c r="Z2499">
        <f>TRIM(A2499&amp;"")</f>
        <v/>
      </c>
      <c r="AA2499">
        <f>IF(Z2499="","",IF(MATCH(SUBSTITUTE(SUBSTITUTE(SUBSTITUTE(Z2499,"~","~~"),"*","~*"),"?","~?"),$Z$5:$Z$5004,0)=2495,MAX($AA$4:AA2498)+1,""))</f>
        <v/>
      </c>
    </row>
    <row r="2500" spans="1:27">
      <c r="A2500" s="9"/>
      <c r="Z2500">
        <f>TRIM(A2500&amp;"")</f>
        <v/>
      </c>
      <c r="AA2500">
        <f>IF(Z2500="","",IF(MATCH(SUBSTITUTE(SUBSTITUTE(SUBSTITUTE(Z2500,"~","~~"),"*","~*"),"?","~?"),$Z$5:$Z$5004,0)=2496,MAX($AA$4:AA2499)+1,""))</f>
        <v/>
      </c>
    </row>
    <row r="2501" spans="1:27">
      <c r="A2501" s="9"/>
      <c r="Z2501">
        <f>TRIM(A2501&amp;"")</f>
        <v/>
      </c>
      <c r="AA2501">
        <f>IF(Z2501="","",IF(MATCH(SUBSTITUTE(SUBSTITUTE(SUBSTITUTE(Z2501,"~","~~"),"*","~*"),"?","~?"),$Z$5:$Z$5004,0)=2497,MAX($AA$4:AA2500)+1,""))</f>
        <v/>
      </c>
    </row>
    <row r="2502" spans="1:27">
      <c r="A2502" s="9"/>
      <c r="Z2502">
        <f>TRIM(A2502&amp;"")</f>
        <v/>
      </c>
      <c r="AA2502">
        <f>IF(Z2502="","",IF(MATCH(SUBSTITUTE(SUBSTITUTE(SUBSTITUTE(Z2502,"~","~~"),"*","~*"),"?","~?"),$Z$5:$Z$5004,0)=2498,MAX($AA$4:AA2501)+1,""))</f>
        <v/>
      </c>
    </row>
    <row r="2503" spans="1:27">
      <c r="A2503" s="9"/>
      <c r="Z2503">
        <f>TRIM(A2503&amp;"")</f>
        <v/>
      </c>
      <c r="AA2503">
        <f>IF(Z2503="","",IF(MATCH(SUBSTITUTE(SUBSTITUTE(SUBSTITUTE(Z2503,"~","~~"),"*","~*"),"?","~?"),$Z$5:$Z$5004,0)=2499,MAX($AA$4:AA2502)+1,""))</f>
        <v/>
      </c>
    </row>
    <row r="2504" spans="1:27">
      <c r="A2504" s="9"/>
      <c r="Z2504">
        <f>TRIM(A2504&amp;"")</f>
        <v/>
      </c>
      <c r="AA2504">
        <f>IF(Z2504="","",IF(MATCH(SUBSTITUTE(SUBSTITUTE(SUBSTITUTE(Z2504,"~","~~"),"*","~*"),"?","~?"),$Z$5:$Z$5004,0)=2500,MAX($AA$4:AA2503)+1,""))</f>
        <v/>
      </c>
    </row>
    <row r="2505" spans="1:27">
      <c r="A2505" s="9"/>
      <c r="Z2505">
        <f>TRIM(A2505&amp;"")</f>
        <v/>
      </c>
      <c r="AA2505">
        <f>IF(Z2505="","",IF(MATCH(SUBSTITUTE(SUBSTITUTE(SUBSTITUTE(Z2505,"~","~~"),"*","~*"),"?","~?"),$Z$5:$Z$5004,0)=2501,MAX($AA$4:AA2504)+1,""))</f>
        <v/>
      </c>
    </row>
    <row r="2506" spans="1:27">
      <c r="A2506" s="9"/>
      <c r="Z2506">
        <f>TRIM(A2506&amp;"")</f>
        <v/>
      </c>
      <c r="AA2506">
        <f>IF(Z2506="","",IF(MATCH(SUBSTITUTE(SUBSTITUTE(SUBSTITUTE(Z2506,"~","~~"),"*","~*"),"?","~?"),$Z$5:$Z$5004,0)=2502,MAX($AA$4:AA2505)+1,""))</f>
        <v/>
      </c>
    </row>
    <row r="2507" spans="1:27">
      <c r="A2507" s="9"/>
      <c r="Z2507">
        <f>TRIM(A2507&amp;"")</f>
        <v/>
      </c>
      <c r="AA2507">
        <f>IF(Z2507="","",IF(MATCH(SUBSTITUTE(SUBSTITUTE(SUBSTITUTE(Z2507,"~","~~"),"*","~*"),"?","~?"),$Z$5:$Z$5004,0)=2503,MAX($AA$4:AA2506)+1,""))</f>
        <v/>
      </c>
    </row>
    <row r="2508" spans="1:27">
      <c r="A2508" s="9"/>
      <c r="Z2508">
        <f>TRIM(A2508&amp;"")</f>
        <v/>
      </c>
      <c r="AA2508">
        <f>IF(Z2508="","",IF(MATCH(SUBSTITUTE(SUBSTITUTE(SUBSTITUTE(Z2508,"~","~~"),"*","~*"),"?","~?"),$Z$5:$Z$5004,0)=2504,MAX($AA$4:AA2507)+1,""))</f>
        <v/>
      </c>
    </row>
    <row r="2509" spans="1:27">
      <c r="A2509" s="9"/>
      <c r="Z2509">
        <f>TRIM(A2509&amp;"")</f>
        <v/>
      </c>
      <c r="AA2509">
        <f>IF(Z2509="","",IF(MATCH(SUBSTITUTE(SUBSTITUTE(SUBSTITUTE(Z2509,"~","~~"),"*","~*"),"?","~?"),$Z$5:$Z$5004,0)=2505,MAX($AA$4:AA2508)+1,""))</f>
        <v/>
      </c>
    </row>
    <row r="2510" spans="1:27">
      <c r="A2510" s="9"/>
      <c r="Z2510">
        <f>TRIM(A2510&amp;"")</f>
        <v/>
      </c>
      <c r="AA2510">
        <f>IF(Z2510="","",IF(MATCH(SUBSTITUTE(SUBSTITUTE(SUBSTITUTE(Z2510,"~","~~"),"*","~*"),"?","~?"),$Z$5:$Z$5004,0)=2506,MAX($AA$4:AA2509)+1,""))</f>
        <v/>
      </c>
    </row>
    <row r="2511" spans="1:27">
      <c r="A2511" s="9"/>
      <c r="Z2511">
        <f>TRIM(A2511&amp;"")</f>
        <v/>
      </c>
      <c r="AA2511">
        <f>IF(Z2511="","",IF(MATCH(SUBSTITUTE(SUBSTITUTE(SUBSTITUTE(Z2511,"~","~~"),"*","~*"),"?","~?"),$Z$5:$Z$5004,0)=2507,MAX($AA$4:AA2510)+1,""))</f>
        <v/>
      </c>
    </row>
    <row r="2512" spans="1:27">
      <c r="A2512" s="9"/>
      <c r="Z2512">
        <f>TRIM(A2512&amp;"")</f>
        <v/>
      </c>
      <c r="AA2512">
        <f>IF(Z2512="","",IF(MATCH(SUBSTITUTE(SUBSTITUTE(SUBSTITUTE(Z2512,"~","~~"),"*","~*"),"?","~?"),$Z$5:$Z$5004,0)=2508,MAX($AA$4:AA2511)+1,""))</f>
        <v/>
      </c>
    </row>
    <row r="2513" spans="1:27">
      <c r="A2513" s="9"/>
      <c r="Z2513">
        <f>TRIM(A2513&amp;"")</f>
        <v/>
      </c>
      <c r="AA2513">
        <f>IF(Z2513="","",IF(MATCH(SUBSTITUTE(SUBSTITUTE(SUBSTITUTE(Z2513,"~","~~"),"*","~*"),"?","~?"),$Z$5:$Z$5004,0)=2509,MAX($AA$4:AA2512)+1,""))</f>
        <v/>
      </c>
    </row>
    <row r="2514" spans="1:27">
      <c r="A2514" s="9"/>
      <c r="Z2514">
        <f>TRIM(A2514&amp;"")</f>
        <v/>
      </c>
      <c r="AA2514">
        <f>IF(Z2514="","",IF(MATCH(SUBSTITUTE(SUBSTITUTE(SUBSTITUTE(Z2514,"~","~~"),"*","~*"),"?","~?"),$Z$5:$Z$5004,0)=2510,MAX($AA$4:AA2513)+1,""))</f>
        <v/>
      </c>
    </row>
    <row r="2515" spans="1:27">
      <c r="A2515" s="9"/>
      <c r="Z2515">
        <f>TRIM(A2515&amp;"")</f>
        <v/>
      </c>
      <c r="AA2515">
        <f>IF(Z2515="","",IF(MATCH(SUBSTITUTE(SUBSTITUTE(SUBSTITUTE(Z2515,"~","~~"),"*","~*"),"?","~?"),$Z$5:$Z$5004,0)=2511,MAX($AA$4:AA2514)+1,""))</f>
        <v/>
      </c>
    </row>
    <row r="2516" spans="1:27">
      <c r="A2516" s="9"/>
      <c r="Z2516">
        <f>TRIM(A2516&amp;"")</f>
        <v/>
      </c>
      <c r="AA2516">
        <f>IF(Z2516="","",IF(MATCH(SUBSTITUTE(SUBSTITUTE(SUBSTITUTE(Z2516,"~","~~"),"*","~*"),"?","~?"),$Z$5:$Z$5004,0)=2512,MAX($AA$4:AA2515)+1,""))</f>
        <v/>
      </c>
    </row>
    <row r="2517" spans="1:27">
      <c r="A2517" s="9"/>
      <c r="Z2517">
        <f>TRIM(A2517&amp;"")</f>
        <v/>
      </c>
      <c r="AA2517">
        <f>IF(Z2517="","",IF(MATCH(SUBSTITUTE(SUBSTITUTE(SUBSTITUTE(Z2517,"~","~~"),"*","~*"),"?","~?"),$Z$5:$Z$5004,0)=2513,MAX($AA$4:AA2516)+1,""))</f>
        <v/>
      </c>
    </row>
    <row r="2518" spans="1:27">
      <c r="A2518" s="9"/>
      <c r="Z2518">
        <f>TRIM(A2518&amp;"")</f>
        <v/>
      </c>
      <c r="AA2518">
        <f>IF(Z2518="","",IF(MATCH(SUBSTITUTE(SUBSTITUTE(SUBSTITUTE(Z2518,"~","~~"),"*","~*"),"?","~?"),$Z$5:$Z$5004,0)=2514,MAX($AA$4:AA2517)+1,""))</f>
        <v/>
      </c>
    </row>
    <row r="2519" spans="1:27">
      <c r="A2519" s="9"/>
      <c r="Z2519">
        <f>TRIM(A2519&amp;"")</f>
        <v/>
      </c>
      <c r="AA2519">
        <f>IF(Z2519="","",IF(MATCH(SUBSTITUTE(SUBSTITUTE(SUBSTITUTE(Z2519,"~","~~"),"*","~*"),"?","~?"),$Z$5:$Z$5004,0)=2515,MAX($AA$4:AA2518)+1,""))</f>
        <v/>
      </c>
    </row>
    <row r="2520" spans="1:27">
      <c r="A2520" s="9"/>
      <c r="Z2520">
        <f>TRIM(A2520&amp;"")</f>
        <v/>
      </c>
      <c r="AA2520">
        <f>IF(Z2520="","",IF(MATCH(SUBSTITUTE(SUBSTITUTE(SUBSTITUTE(Z2520,"~","~~"),"*","~*"),"?","~?"),$Z$5:$Z$5004,0)=2516,MAX($AA$4:AA2519)+1,""))</f>
        <v/>
      </c>
    </row>
    <row r="2521" spans="1:27">
      <c r="A2521" s="9"/>
      <c r="Z2521">
        <f>TRIM(A2521&amp;"")</f>
        <v/>
      </c>
      <c r="AA2521">
        <f>IF(Z2521="","",IF(MATCH(SUBSTITUTE(SUBSTITUTE(SUBSTITUTE(Z2521,"~","~~"),"*","~*"),"?","~?"),$Z$5:$Z$5004,0)=2517,MAX($AA$4:AA2520)+1,""))</f>
        <v/>
      </c>
    </row>
    <row r="2522" spans="1:27">
      <c r="A2522" s="9"/>
      <c r="Z2522">
        <f>TRIM(A2522&amp;"")</f>
        <v/>
      </c>
      <c r="AA2522">
        <f>IF(Z2522="","",IF(MATCH(SUBSTITUTE(SUBSTITUTE(SUBSTITUTE(Z2522,"~","~~"),"*","~*"),"?","~?"),$Z$5:$Z$5004,0)=2518,MAX($AA$4:AA2521)+1,""))</f>
        <v/>
      </c>
    </row>
    <row r="2523" spans="1:27">
      <c r="A2523" s="9"/>
      <c r="Z2523">
        <f>TRIM(A2523&amp;"")</f>
        <v/>
      </c>
      <c r="AA2523">
        <f>IF(Z2523="","",IF(MATCH(SUBSTITUTE(SUBSTITUTE(SUBSTITUTE(Z2523,"~","~~"),"*","~*"),"?","~?"),$Z$5:$Z$5004,0)=2519,MAX($AA$4:AA2522)+1,""))</f>
        <v/>
      </c>
    </row>
    <row r="2524" spans="1:27">
      <c r="A2524" s="9"/>
      <c r="Z2524">
        <f>TRIM(A2524&amp;"")</f>
        <v/>
      </c>
      <c r="AA2524">
        <f>IF(Z2524="","",IF(MATCH(SUBSTITUTE(SUBSTITUTE(SUBSTITUTE(Z2524,"~","~~"),"*","~*"),"?","~?"),$Z$5:$Z$5004,0)=2520,MAX($AA$4:AA2523)+1,""))</f>
        <v/>
      </c>
    </row>
    <row r="2525" spans="1:27">
      <c r="A2525" s="9"/>
      <c r="Z2525">
        <f>TRIM(A2525&amp;"")</f>
        <v/>
      </c>
      <c r="AA2525">
        <f>IF(Z2525="","",IF(MATCH(SUBSTITUTE(SUBSTITUTE(SUBSTITUTE(Z2525,"~","~~"),"*","~*"),"?","~?"),$Z$5:$Z$5004,0)=2521,MAX($AA$4:AA2524)+1,""))</f>
        <v/>
      </c>
    </row>
    <row r="2526" spans="1:27">
      <c r="A2526" s="9"/>
      <c r="Z2526">
        <f>TRIM(A2526&amp;"")</f>
        <v/>
      </c>
      <c r="AA2526">
        <f>IF(Z2526="","",IF(MATCH(SUBSTITUTE(SUBSTITUTE(SUBSTITUTE(Z2526,"~","~~"),"*","~*"),"?","~?"),$Z$5:$Z$5004,0)=2522,MAX($AA$4:AA2525)+1,""))</f>
        <v/>
      </c>
    </row>
    <row r="2527" spans="1:27">
      <c r="A2527" s="9"/>
      <c r="Z2527">
        <f>TRIM(A2527&amp;"")</f>
        <v/>
      </c>
      <c r="AA2527">
        <f>IF(Z2527="","",IF(MATCH(SUBSTITUTE(SUBSTITUTE(SUBSTITUTE(Z2527,"~","~~"),"*","~*"),"?","~?"),$Z$5:$Z$5004,0)=2523,MAX($AA$4:AA2526)+1,""))</f>
        <v/>
      </c>
    </row>
    <row r="2528" spans="1:27">
      <c r="A2528" s="9"/>
      <c r="Z2528">
        <f>TRIM(A2528&amp;"")</f>
        <v/>
      </c>
      <c r="AA2528">
        <f>IF(Z2528="","",IF(MATCH(SUBSTITUTE(SUBSTITUTE(SUBSTITUTE(Z2528,"~","~~"),"*","~*"),"?","~?"),$Z$5:$Z$5004,0)=2524,MAX($AA$4:AA2527)+1,""))</f>
        <v/>
      </c>
    </row>
    <row r="2529" spans="1:27">
      <c r="A2529" s="9"/>
      <c r="Z2529">
        <f>TRIM(A2529&amp;"")</f>
        <v/>
      </c>
      <c r="AA2529">
        <f>IF(Z2529="","",IF(MATCH(SUBSTITUTE(SUBSTITUTE(SUBSTITUTE(Z2529,"~","~~"),"*","~*"),"?","~?"),$Z$5:$Z$5004,0)=2525,MAX($AA$4:AA2528)+1,""))</f>
        <v/>
      </c>
    </row>
    <row r="2530" spans="1:27">
      <c r="A2530" s="9"/>
      <c r="Z2530">
        <f>TRIM(A2530&amp;"")</f>
        <v/>
      </c>
      <c r="AA2530">
        <f>IF(Z2530="","",IF(MATCH(SUBSTITUTE(SUBSTITUTE(SUBSTITUTE(Z2530,"~","~~"),"*","~*"),"?","~?"),$Z$5:$Z$5004,0)=2526,MAX($AA$4:AA2529)+1,""))</f>
        <v/>
      </c>
    </row>
    <row r="2531" spans="1:27">
      <c r="A2531" s="9"/>
      <c r="Z2531">
        <f>TRIM(A2531&amp;"")</f>
        <v/>
      </c>
      <c r="AA2531">
        <f>IF(Z2531="","",IF(MATCH(SUBSTITUTE(SUBSTITUTE(SUBSTITUTE(Z2531,"~","~~"),"*","~*"),"?","~?"),$Z$5:$Z$5004,0)=2527,MAX($AA$4:AA2530)+1,""))</f>
        <v/>
      </c>
    </row>
    <row r="2532" spans="1:27">
      <c r="A2532" s="9"/>
      <c r="Z2532">
        <f>TRIM(A2532&amp;"")</f>
        <v/>
      </c>
      <c r="AA2532">
        <f>IF(Z2532="","",IF(MATCH(SUBSTITUTE(SUBSTITUTE(SUBSTITUTE(Z2532,"~","~~"),"*","~*"),"?","~?"),$Z$5:$Z$5004,0)=2528,MAX($AA$4:AA2531)+1,""))</f>
        <v/>
      </c>
    </row>
    <row r="2533" spans="1:27">
      <c r="A2533" s="9"/>
      <c r="Z2533">
        <f>TRIM(A2533&amp;"")</f>
        <v/>
      </c>
      <c r="AA2533">
        <f>IF(Z2533="","",IF(MATCH(SUBSTITUTE(SUBSTITUTE(SUBSTITUTE(Z2533,"~","~~"),"*","~*"),"?","~?"),$Z$5:$Z$5004,0)=2529,MAX($AA$4:AA2532)+1,""))</f>
        <v/>
      </c>
    </row>
    <row r="2534" spans="1:27">
      <c r="A2534" s="9"/>
      <c r="Z2534">
        <f>TRIM(A2534&amp;"")</f>
        <v/>
      </c>
      <c r="AA2534">
        <f>IF(Z2534="","",IF(MATCH(SUBSTITUTE(SUBSTITUTE(SUBSTITUTE(Z2534,"~","~~"),"*","~*"),"?","~?"),$Z$5:$Z$5004,0)=2530,MAX($AA$4:AA2533)+1,""))</f>
        <v/>
      </c>
    </row>
    <row r="2535" spans="1:27">
      <c r="A2535" s="9"/>
      <c r="Z2535">
        <f>TRIM(A2535&amp;"")</f>
        <v/>
      </c>
      <c r="AA2535">
        <f>IF(Z2535="","",IF(MATCH(SUBSTITUTE(SUBSTITUTE(SUBSTITUTE(Z2535,"~","~~"),"*","~*"),"?","~?"),$Z$5:$Z$5004,0)=2531,MAX($AA$4:AA2534)+1,""))</f>
        <v/>
      </c>
    </row>
    <row r="2536" spans="1:27">
      <c r="A2536" s="9"/>
      <c r="Z2536">
        <f>TRIM(A2536&amp;"")</f>
        <v/>
      </c>
      <c r="AA2536">
        <f>IF(Z2536="","",IF(MATCH(SUBSTITUTE(SUBSTITUTE(SUBSTITUTE(Z2536,"~","~~"),"*","~*"),"?","~?"),$Z$5:$Z$5004,0)=2532,MAX($AA$4:AA2535)+1,""))</f>
        <v/>
      </c>
    </row>
    <row r="2537" spans="1:27">
      <c r="A2537" s="9"/>
      <c r="Z2537">
        <f>TRIM(A2537&amp;"")</f>
        <v/>
      </c>
      <c r="AA2537">
        <f>IF(Z2537="","",IF(MATCH(SUBSTITUTE(SUBSTITUTE(SUBSTITUTE(Z2537,"~","~~"),"*","~*"),"?","~?"),$Z$5:$Z$5004,0)=2533,MAX($AA$4:AA2536)+1,""))</f>
        <v/>
      </c>
    </row>
    <row r="2538" spans="1:27">
      <c r="A2538" s="9"/>
      <c r="Z2538">
        <f>TRIM(A2538&amp;"")</f>
        <v/>
      </c>
      <c r="AA2538">
        <f>IF(Z2538="","",IF(MATCH(SUBSTITUTE(SUBSTITUTE(SUBSTITUTE(Z2538,"~","~~"),"*","~*"),"?","~?"),$Z$5:$Z$5004,0)=2534,MAX($AA$4:AA2537)+1,""))</f>
        <v/>
      </c>
    </row>
    <row r="2539" spans="1:27">
      <c r="A2539" s="9"/>
      <c r="Z2539">
        <f>TRIM(A2539&amp;"")</f>
        <v/>
      </c>
      <c r="AA2539">
        <f>IF(Z2539="","",IF(MATCH(SUBSTITUTE(SUBSTITUTE(SUBSTITUTE(Z2539,"~","~~"),"*","~*"),"?","~?"),$Z$5:$Z$5004,0)=2535,MAX($AA$4:AA2538)+1,""))</f>
        <v/>
      </c>
    </row>
    <row r="2540" spans="1:27">
      <c r="A2540" s="9"/>
      <c r="Z2540">
        <f>TRIM(A2540&amp;"")</f>
        <v/>
      </c>
      <c r="AA2540">
        <f>IF(Z2540="","",IF(MATCH(SUBSTITUTE(SUBSTITUTE(SUBSTITUTE(Z2540,"~","~~"),"*","~*"),"?","~?"),$Z$5:$Z$5004,0)=2536,MAX($AA$4:AA2539)+1,""))</f>
        <v/>
      </c>
    </row>
    <row r="2541" spans="1:27">
      <c r="A2541" s="9"/>
      <c r="Z2541">
        <f>TRIM(A2541&amp;"")</f>
        <v/>
      </c>
      <c r="AA2541">
        <f>IF(Z2541="","",IF(MATCH(SUBSTITUTE(SUBSTITUTE(SUBSTITUTE(Z2541,"~","~~"),"*","~*"),"?","~?"),$Z$5:$Z$5004,0)=2537,MAX($AA$4:AA2540)+1,""))</f>
        <v/>
      </c>
    </row>
    <row r="2542" spans="1:27">
      <c r="A2542" s="9"/>
      <c r="Z2542">
        <f>TRIM(A2542&amp;"")</f>
        <v/>
      </c>
      <c r="AA2542">
        <f>IF(Z2542="","",IF(MATCH(SUBSTITUTE(SUBSTITUTE(SUBSTITUTE(Z2542,"~","~~"),"*","~*"),"?","~?"),$Z$5:$Z$5004,0)=2538,MAX($AA$4:AA2541)+1,""))</f>
        <v/>
      </c>
    </row>
    <row r="2543" spans="1:27">
      <c r="A2543" s="9"/>
      <c r="Z2543">
        <f>TRIM(A2543&amp;"")</f>
        <v/>
      </c>
      <c r="AA2543">
        <f>IF(Z2543="","",IF(MATCH(SUBSTITUTE(SUBSTITUTE(SUBSTITUTE(Z2543,"~","~~"),"*","~*"),"?","~?"),$Z$5:$Z$5004,0)=2539,MAX($AA$4:AA2542)+1,""))</f>
        <v/>
      </c>
    </row>
    <row r="2544" spans="1:27">
      <c r="A2544" s="9"/>
      <c r="Z2544">
        <f>TRIM(A2544&amp;"")</f>
        <v/>
      </c>
      <c r="AA2544">
        <f>IF(Z2544="","",IF(MATCH(SUBSTITUTE(SUBSTITUTE(SUBSTITUTE(Z2544,"~","~~"),"*","~*"),"?","~?"),$Z$5:$Z$5004,0)=2540,MAX($AA$4:AA2543)+1,""))</f>
        <v/>
      </c>
    </row>
    <row r="2545" spans="1:27">
      <c r="A2545" s="9"/>
      <c r="Z2545">
        <f>TRIM(A2545&amp;"")</f>
        <v/>
      </c>
      <c r="AA2545">
        <f>IF(Z2545="","",IF(MATCH(SUBSTITUTE(SUBSTITUTE(SUBSTITUTE(Z2545,"~","~~"),"*","~*"),"?","~?"),$Z$5:$Z$5004,0)=2541,MAX($AA$4:AA2544)+1,""))</f>
        <v/>
      </c>
    </row>
    <row r="2546" spans="1:27">
      <c r="A2546" s="9"/>
      <c r="Z2546">
        <f>TRIM(A2546&amp;"")</f>
        <v/>
      </c>
      <c r="AA2546">
        <f>IF(Z2546="","",IF(MATCH(SUBSTITUTE(SUBSTITUTE(SUBSTITUTE(Z2546,"~","~~"),"*","~*"),"?","~?"),$Z$5:$Z$5004,0)=2542,MAX($AA$4:AA2545)+1,""))</f>
        <v/>
      </c>
    </row>
    <row r="2547" spans="1:27">
      <c r="A2547" s="9"/>
      <c r="Z2547">
        <f>TRIM(A2547&amp;"")</f>
        <v/>
      </c>
      <c r="AA2547">
        <f>IF(Z2547="","",IF(MATCH(SUBSTITUTE(SUBSTITUTE(SUBSTITUTE(Z2547,"~","~~"),"*","~*"),"?","~?"),$Z$5:$Z$5004,0)=2543,MAX($AA$4:AA2546)+1,""))</f>
        <v/>
      </c>
    </row>
    <row r="2548" spans="1:27">
      <c r="A2548" s="9"/>
      <c r="Z2548">
        <f>TRIM(A2548&amp;"")</f>
        <v/>
      </c>
      <c r="AA2548">
        <f>IF(Z2548="","",IF(MATCH(SUBSTITUTE(SUBSTITUTE(SUBSTITUTE(Z2548,"~","~~"),"*","~*"),"?","~?"),$Z$5:$Z$5004,0)=2544,MAX($AA$4:AA2547)+1,""))</f>
        <v/>
      </c>
    </row>
    <row r="2549" spans="1:27">
      <c r="A2549" s="9"/>
      <c r="Z2549">
        <f>TRIM(A2549&amp;"")</f>
        <v/>
      </c>
      <c r="AA2549">
        <f>IF(Z2549="","",IF(MATCH(SUBSTITUTE(SUBSTITUTE(SUBSTITUTE(Z2549,"~","~~"),"*","~*"),"?","~?"),$Z$5:$Z$5004,0)=2545,MAX($AA$4:AA2548)+1,""))</f>
        <v/>
      </c>
    </row>
    <row r="2550" spans="1:27">
      <c r="A2550" s="9"/>
      <c r="Z2550">
        <f>TRIM(A2550&amp;"")</f>
        <v/>
      </c>
      <c r="AA2550">
        <f>IF(Z2550="","",IF(MATCH(SUBSTITUTE(SUBSTITUTE(SUBSTITUTE(Z2550,"~","~~"),"*","~*"),"?","~?"),$Z$5:$Z$5004,0)=2546,MAX($AA$4:AA2549)+1,""))</f>
        <v/>
      </c>
    </row>
    <row r="2551" spans="1:27">
      <c r="A2551" s="9"/>
      <c r="Z2551">
        <f>TRIM(A2551&amp;"")</f>
        <v/>
      </c>
      <c r="AA2551">
        <f>IF(Z2551="","",IF(MATCH(SUBSTITUTE(SUBSTITUTE(SUBSTITUTE(Z2551,"~","~~"),"*","~*"),"?","~?"),$Z$5:$Z$5004,0)=2547,MAX($AA$4:AA2550)+1,""))</f>
        <v/>
      </c>
    </row>
    <row r="2552" spans="1:27">
      <c r="A2552" s="9"/>
      <c r="Z2552">
        <f>TRIM(A2552&amp;"")</f>
        <v/>
      </c>
      <c r="AA2552">
        <f>IF(Z2552="","",IF(MATCH(SUBSTITUTE(SUBSTITUTE(SUBSTITUTE(Z2552,"~","~~"),"*","~*"),"?","~?"),$Z$5:$Z$5004,0)=2548,MAX($AA$4:AA2551)+1,""))</f>
        <v/>
      </c>
    </row>
    <row r="2553" spans="1:27">
      <c r="A2553" s="9"/>
      <c r="Z2553">
        <f>TRIM(A2553&amp;"")</f>
        <v/>
      </c>
      <c r="AA2553">
        <f>IF(Z2553="","",IF(MATCH(SUBSTITUTE(SUBSTITUTE(SUBSTITUTE(Z2553,"~","~~"),"*","~*"),"?","~?"),$Z$5:$Z$5004,0)=2549,MAX($AA$4:AA2552)+1,""))</f>
        <v/>
      </c>
    </row>
    <row r="2554" spans="1:27">
      <c r="A2554" s="9"/>
      <c r="Z2554">
        <f>TRIM(A2554&amp;"")</f>
        <v/>
      </c>
      <c r="AA2554">
        <f>IF(Z2554="","",IF(MATCH(SUBSTITUTE(SUBSTITUTE(SUBSTITUTE(Z2554,"~","~~"),"*","~*"),"?","~?"),$Z$5:$Z$5004,0)=2550,MAX($AA$4:AA2553)+1,""))</f>
        <v/>
      </c>
    </row>
    <row r="2555" spans="1:27">
      <c r="A2555" s="9"/>
      <c r="Z2555">
        <f>TRIM(A2555&amp;"")</f>
        <v/>
      </c>
      <c r="AA2555">
        <f>IF(Z2555="","",IF(MATCH(SUBSTITUTE(SUBSTITUTE(SUBSTITUTE(Z2555,"~","~~"),"*","~*"),"?","~?"),$Z$5:$Z$5004,0)=2551,MAX($AA$4:AA2554)+1,""))</f>
        <v/>
      </c>
    </row>
    <row r="2556" spans="1:27">
      <c r="A2556" s="9"/>
      <c r="Z2556">
        <f>TRIM(A2556&amp;"")</f>
        <v/>
      </c>
      <c r="AA2556">
        <f>IF(Z2556="","",IF(MATCH(SUBSTITUTE(SUBSTITUTE(SUBSTITUTE(Z2556,"~","~~"),"*","~*"),"?","~?"),$Z$5:$Z$5004,0)=2552,MAX($AA$4:AA2555)+1,""))</f>
        <v/>
      </c>
    </row>
    <row r="2557" spans="1:27">
      <c r="A2557" s="9"/>
      <c r="Z2557">
        <f>TRIM(A2557&amp;"")</f>
        <v/>
      </c>
      <c r="AA2557">
        <f>IF(Z2557="","",IF(MATCH(SUBSTITUTE(SUBSTITUTE(SUBSTITUTE(Z2557,"~","~~"),"*","~*"),"?","~?"),$Z$5:$Z$5004,0)=2553,MAX($AA$4:AA2556)+1,""))</f>
        <v/>
      </c>
    </row>
    <row r="2558" spans="1:27">
      <c r="A2558" s="9"/>
      <c r="Z2558">
        <f>TRIM(A2558&amp;"")</f>
        <v/>
      </c>
      <c r="AA2558">
        <f>IF(Z2558="","",IF(MATCH(SUBSTITUTE(SUBSTITUTE(SUBSTITUTE(Z2558,"~","~~"),"*","~*"),"?","~?"),$Z$5:$Z$5004,0)=2554,MAX($AA$4:AA2557)+1,""))</f>
        <v/>
      </c>
    </row>
    <row r="2559" spans="1:27">
      <c r="A2559" s="9"/>
      <c r="Z2559">
        <f>TRIM(A2559&amp;"")</f>
        <v/>
      </c>
      <c r="AA2559">
        <f>IF(Z2559="","",IF(MATCH(SUBSTITUTE(SUBSTITUTE(SUBSTITUTE(Z2559,"~","~~"),"*","~*"),"?","~?"),$Z$5:$Z$5004,0)=2555,MAX($AA$4:AA2558)+1,""))</f>
        <v/>
      </c>
    </row>
    <row r="2560" spans="1:27">
      <c r="A2560" s="9"/>
      <c r="Z2560">
        <f>TRIM(A2560&amp;"")</f>
        <v/>
      </c>
      <c r="AA2560">
        <f>IF(Z2560="","",IF(MATCH(SUBSTITUTE(SUBSTITUTE(SUBSTITUTE(Z2560,"~","~~"),"*","~*"),"?","~?"),$Z$5:$Z$5004,0)=2556,MAX($AA$4:AA2559)+1,""))</f>
        <v/>
      </c>
    </row>
    <row r="2561" spans="1:27">
      <c r="A2561" s="9"/>
      <c r="Z2561">
        <f>TRIM(A2561&amp;"")</f>
        <v/>
      </c>
      <c r="AA2561">
        <f>IF(Z2561="","",IF(MATCH(SUBSTITUTE(SUBSTITUTE(SUBSTITUTE(Z2561,"~","~~"),"*","~*"),"?","~?"),$Z$5:$Z$5004,0)=2557,MAX($AA$4:AA2560)+1,""))</f>
        <v/>
      </c>
    </row>
    <row r="2562" spans="1:27">
      <c r="A2562" s="9"/>
      <c r="Z2562">
        <f>TRIM(A2562&amp;"")</f>
        <v/>
      </c>
      <c r="AA2562">
        <f>IF(Z2562="","",IF(MATCH(SUBSTITUTE(SUBSTITUTE(SUBSTITUTE(Z2562,"~","~~"),"*","~*"),"?","~?"),$Z$5:$Z$5004,0)=2558,MAX($AA$4:AA2561)+1,""))</f>
        <v/>
      </c>
    </row>
    <row r="2563" spans="1:27">
      <c r="A2563" s="9"/>
      <c r="Z2563">
        <f>TRIM(A2563&amp;"")</f>
        <v/>
      </c>
      <c r="AA2563">
        <f>IF(Z2563="","",IF(MATCH(SUBSTITUTE(SUBSTITUTE(SUBSTITUTE(Z2563,"~","~~"),"*","~*"),"?","~?"),$Z$5:$Z$5004,0)=2559,MAX($AA$4:AA2562)+1,""))</f>
        <v/>
      </c>
    </row>
    <row r="2564" spans="1:27">
      <c r="A2564" s="9"/>
      <c r="Z2564">
        <f>TRIM(A2564&amp;"")</f>
        <v/>
      </c>
      <c r="AA2564">
        <f>IF(Z2564="","",IF(MATCH(SUBSTITUTE(SUBSTITUTE(SUBSTITUTE(Z2564,"~","~~"),"*","~*"),"?","~?"),$Z$5:$Z$5004,0)=2560,MAX($AA$4:AA2563)+1,""))</f>
        <v/>
      </c>
    </row>
    <row r="2565" spans="1:27">
      <c r="A2565" s="9"/>
      <c r="Z2565">
        <f>TRIM(A2565&amp;"")</f>
        <v/>
      </c>
      <c r="AA2565">
        <f>IF(Z2565="","",IF(MATCH(SUBSTITUTE(SUBSTITUTE(SUBSTITUTE(Z2565,"~","~~"),"*","~*"),"?","~?"),$Z$5:$Z$5004,0)=2561,MAX($AA$4:AA2564)+1,""))</f>
        <v/>
      </c>
    </row>
    <row r="2566" spans="1:27">
      <c r="A2566" s="9"/>
      <c r="Z2566">
        <f>TRIM(A2566&amp;"")</f>
        <v/>
      </c>
      <c r="AA2566">
        <f>IF(Z2566="","",IF(MATCH(SUBSTITUTE(SUBSTITUTE(SUBSTITUTE(Z2566,"~","~~"),"*","~*"),"?","~?"),$Z$5:$Z$5004,0)=2562,MAX($AA$4:AA2565)+1,""))</f>
        <v/>
      </c>
    </row>
    <row r="2567" spans="1:27">
      <c r="A2567" s="9"/>
      <c r="Z2567">
        <f>TRIM(A2567&amp;"")</f>
        <v/>
      </c>
      <c r="AA2567">
        <f>IF(Z2567="","",IF(MATCH(SUBSTITUTE(SUBSTITUTE(SUBSTITUTE(Z2567,"~","~~"),"*","~*"),"?","~?"),$Z$5:$Z$5004,0)=2563,MAX($AA$4:AA2566)+1,""))</f>
        <v/>
      </c>
    </row>
    <row r="2568" spans="1:27">
      <c r="A2568" s="9"/>
      <c r="Z2568">
        <f>TRIM(A2568&amp;"")</f>
        <v/>
      </c>
      <c r="AA2568">
        <f>IF(Z2568="","",IF(MATCH(SUBSTITUTE(SUBSTITUTE(SUBSTITUTE(Z2568,"~","~~"),"*","~*"),"?","~?"),$Z$5:$Z$5004,0)=2564,MAX($AA$4:AA2567)+1,""))</f>
        <v/>
      </c>
    </row>
    <row r="2569" spans="1:27">
      <c r="A2569" s="9"/>
      <c r="Z2569">
        <f>TRIM(A2569&amp;"")</f>
        <v/>
      </c>
      <c r="AA2569">
        <f>IF(Z2569="","",IF(MATCH(SUBSTITUTE(SUBSTITUTE(SUBSTITUTE(Z2569,"~","~~"),"*","~*"),"?","~?"),$Z$5:$Z$5004,0)=2565,MAX($AA$4:AA2568)+1,""))</f>
        <v/>
      </c>
    </row>
    <row r="2570" spans="1:27">
      <c r="A2570" s="9"/>
      <c r="Z2570">
        <f>TRIM(A2570&amp;"")</f>
        <v/>
      </c>
      <c r="AA2570">
        <f>IF(Z2570="","",IF(MATCH(SUBSTITUTE(SUBSTITUTE(SUBSTITUTE(Z2570,"~","~~"),"*","~*"),"?","~?"),$Z$5:$Z$5004,0)=2566,MAX($AA$4:AA2569)+1,""))</f>
        <v/>
      </c>
    </row>
    <row r="2571" spans="1:27">
      <c r="A2571" s="9"/>
      <c r="Z2571">
        <f>TRIM(A2571&amp;"")</f>
        <v/>
      </c>
      <c r="AA2571">
        <f>IF(Z2571="","",IF(MATCH(SUBSTITUTE(SUBSTITUTE(SUBSTITUTE(Z2571,"~","~~"),"*","~*"),"?","~?"),$Z$5:$Z$5004,0)=2567,MAX($AA$4:AA2570)+1,""))</f>
        <v/>
      </c>
    </row>
    <row r="2572" spans="1:27">
      <c r="A2572" s="9"/>
      <c r="Z2572">
        <f>TRIM(A2572&amp;"")</f>
        <v/>
      </c>
      <c r="AA2572">
        <f>IF(Z2572="","",IF(MATCH(SUBSTITUTE(SUBSTITUTE(SUBSTITUTE(Z2572,"~","~~"),"*","~*"),"?","~?"),$Z$5:$Z$5004,0)=2568,MAX($AA$4:AA2571)+1,""))</f>
        <v/>
      </c>
    </row>
    <row r="2573" spans="1:27">
      <c r="A2573" s="9"/>
      <c r="Z2573">
        <f>TRIM(A2573&amp;"")</f>
        <v/>
      </c>
      <c r="AA2573">
        <f>IF(Z2573="","",IF(MATCH(SUBSTITUTE(SUBSTITUTE(SUBSTITUTE(Z2573,"~","~~"),"*","~*"),"?","~?"),$Z$5:$Z$5004,0)=2569,MAX($AA$4:AA2572)+1,""))</f>
        <v/>
      </c>
    </row>
    <row r="2574" spans="1:27">
      <c r="A2574" s="9"/>
      <c r="Z2574">
        <f>TRIM(A2574&amp;"")</f>
        <v/>
      </c>
      <c r="AA2574">
        <f>IF(Z2574="","",IF(MATCH(SUBSTITUTE(SUBSTITUTE(SUBSTITUTE(Z2574,"~","~~"),"*","~*"),"?","~?"),$Z$5:$Z$5004,0)=2570,MAX($AA$4:AA2573)+1,""))</f>
        <v/>
      </c>
    </row>
    <row r="2575" spans="1:27">
      <c r="A2575" s="9"/>
      <c r="Z2575">
        <f>TRIM(A2575&amp;"")</f>
        <v/>
      </c>
      <c r="AA2575">
        <f>IF(Z2575="","",IF(MATCH(SUBSTITUTE(SUBSTITUTE(SUBSTITUTE(Z2575,"~","~~"),"*","~*"),"?","~?"),$Z$5:$Z$5004,0)=2571,MAX($AA$4:AA2574)+1,""))</f>
        <v/>
      </c>
    </row>
    <row r="2576" spans="1:27">
      <c r="A2576" s="9"/>
      <c r="Z2576">
        <f>TRIM(A2576&amp;"")</f>
        <v/>
      </c>
      <c r="AA2576">
        <f>IF(Z2576="","",IF(MATCH(SUBSTITUTE(SUBSTITUTE(SUBSTITUTE(Z2576,"~","~~"),"*","~*"),"?","~?"),$Z$5:$Z$5004,0)=2572,MAX($AA$4:AA2575)+1,""))</f>
        <v/>
      </c>
    </row>
    <row r="2577" spans="1:27">
      <c r="A2577" s="9"/>
      <c r="Z2577">
        <f>TRIM(A2577&amp;"")</f>
        <v/>
      </c>
      <c r="AA2577">
        <f>IF(Z2577="","",IF(MATCH(SUBSTITUTE(SUBSTITUTE(SUBSTITUTE(Z2577,"~","~~"),"*","~*"),"?","~?"),$Z$5:$Z$5004,0)=2573,MAX($AA$4:AA2576)+1,""))</f>
        <v/>
      </c>
    </row>
    <row r="2578" spans="1:27">
      <c r="A2578" s="9"/>
      <c r="Z2578">
        <f>TRIM(A2578&amp;"")</f>
        <v/>
      </c>
      <c r="AA2578">
        <f>IF(Z2578="","",IF(MATCH(SUBSTITUTE(SUBSTITUTE(SUBSTITUTE(Z2578,"~","~~"),"*","~*"),"?","~?"),$Z$5:$Z$5004,0)=2574,MAX($AA$4:AA2577)+1,""))</f>
        <v/>
      </c>
    </row>
    <row r="2579" spans="1:27">
      <c r="A2579" s="9"/>
      <c r="Z2579">
        <f>TRIM(A2579&amp;"")</f>
        <v/>
      </c>
      <c r="AA2579">
        <f>IF(Z2579="","",IF(MATCH(SUBSTITUTE(SUBSTITUTE(SUBSTITUTE(Z2579,"~","~~"),"*","~*"),"?","~?"),$Z$5:$Z$5004,0)=2575,MAX($AA$4:AA2578)+1,""))</f>
        <v/>
      </c>
    </row>
    <row r="2580" spans="1:27">
      <c r="A2580" s="9"/>
      <c r="Z2580">
        <f>TRIM(A2580&amp;"")</f>
        <v/>
      </c>
      <c r="AA2580">
        <f>IF(Z2580="","",IF(MATCH(SUBSTITUTE(SUBSTITUTE(SUBSTITUTE(Z2580,"~","~~"),"*","~*"),"?","~?"),$Z$5:$Z$5004,0)=2576,MAX($AA$4:AA2579)+1,""))</f>
        <v/>
      </c>
    </row>
    <row r="2581" spans="1:27">
      <c r="A2581" s="9"/>
      <c r="Z2581">
        <f>TRIM(A2581&amp;"")</f>
        <v/>
      </c>
      <c r="AA2581">
        <f>IF(Z2581="","",IF(MATCH(SUBSTITUTE(SUBSTITUTE(SUBSTITUTE(Z2581,"~","~~"),"*","~*"),"?","~?"),$Z$5:$Z$5004,0)=2577,MAX($AA$4:AA2580)+1,""))</f>
        <v/>
      </c>
    </row>
    <row r="2582" spans="1:27">
      <c r="A2582" s="9"/>
      <c r="Z2582">
        <f>TRIM(A2582&amp;"")</f>
        <v/>
      </c>
      <c r="AA2582">
        <f>IF(Z2582="","",IF(MATCH(SUBSTITUTE(SUBSTITUTE(SUBSTITUTE(Z2582,"~","~~"),"*","~*"),"?","~?"),$Z$5:$Z$5004,0)=2578,MAX($AA$4:AA2581)+1,""))</f>
        <v/>
      </c>
    </row>
    <row r="2583" spans="1:27">
      <c r="A2583" s="9"/>
      <c r="Z2583">
        <f>TRIM(A2583&amp;"")</f>
        <v/>
      </c>
      <c r="AA2583">
        <f>IF(Z2583="","",IF(MATCH(SUBSTITUTE(SUBSTITUTE(SUBSTITUTE(Z2583,"~","~~"),"*","~*"),"?","~?"),$Z$5:$Z$5004,0)=2579,MAX($AA$4:AA2582)+1,""))</f>
        <v/>
      </c>
    </row>
    <row r="2584" spans="1:27">
      <c r="A2584" s="9"/>
      <c r="Z2584">
        <f>TRIM(A2584&amp;"")</f>
        <v/>
      </c>
      <c r="AA2584">
        <f>IF(Z2584="","",IF(MATCH(SUBSTITUTE(SUBSTITUTE(SUBSTITUTE(Z2584,"~","~~"),"*","~*"),"?","~?"),$Z$5:$Z$5004,0)=2580,MAX($AA$4:AA2583)+1,""))</f>
        <v/>
      </c>
    </row>
    <row r="2585" spans="1:27">
      <c r="A2585" s="9"/>
      <c r="Z2585">
        <f>TRIM(A2585&amp;"")</f>
        <v/>
      </c>
      <c r="AA2585">
        <f>IF(Z2585="","",IF(MATCH(SUBSTITUTE(SUBSTITUTE(SUBSTITUTE(Z2585,"~","~~"),"*","~*"),"?","~?"),$Z$5:$Z$5004,0)=2581,MAX($AA$4:AA2584)+1,""))</f>
        <v/>
      </c>
    </row>
    <row r="2586" spans="1:27">
      <c r="A2586" s="9"/>
      <c r="Z2586">
        <f>TRIM(A2586&amp;"")</f>
        <v/>
      </c>
      <c r="AA2586">
        <f>IF(Z2586="","",IF(MATCH(SUBSTITUTE(SUBSTITUTE(SUBSTITUTE(Z2586,"~","~~"),"*","~*"),"?","~?"),$Z$5:$Z$5004,0)=2582,MAX($AA$4:AA2585)+1,""))</f>
        <v/>
      </c>
    </row>
    <row r="2587" spans="1:27">
      <c r="A2587" s="9"/>
      <c r="Z2587">
        <f>TRIM(A2587&amp;"")</f>
        <v/>
      </c>
      <c r="AA2587">
        <f>IF(Z2587="","",IF(MATCH(SUBSTITUTE(SUBSTITUTE(SUBSTITUTE(Z2587,"~","~~"),"*","~*"),"?","~?"),$Z$5:$Z$5004,0)=2583,MAX($AA$4:AA2586)+1,""))</f>
        <v/>
      </c>
    </row>
    <row r="2588" spans="1:27">
      <c r="A2588" s="9"/>
      <c r="Z2588">
        <f>TRIM(A2588&amp;"")</f>
        <v/>
      </c>
      <c r="AA2588">
        <f>IF(Z2588="","",IF(MATCH(SUBSTITUTE(SUBSTITUTE(SUBSTITUTE(Z2588,"~","~~"),"*","~*"),"?","~?"),$Z$5:$Z$5004,0)=2584,MAX($AA$4:AA2587)+1,""))</f>
        <v/>
      </c>
    </row>
    <row r="2589" spans="1:27">
      <c r="A2589" s="9"/>
      <c r="Z2589">
        <f>TRIM(A2589&amp;"")</f>
        <v/>
      </c>
      <c r="AA2589">
        <f>IF(Z2589="","",IF(MATCH(SUBSTITUTE(SUBSTITUTE(SUBSTITUTE(Z2589,"~","~~"),"*","~*"),"?","~?"),$Z$5:$Z$5004,0)=2585,MAX($AA$4:AA2588)+1,""))</f>
        <v/>
      </c>
    </row>
    <row r="2590" spans="1:27">
      <c r="A2590" s="9"/>
      <c r="Z2590">
        <f>TRIM(A2590&amp;"")</f>
        <v/>
      </c>
      <c r="AA2590">
        <f>IF(Z2590="","",IF(MATCH(SUBSTITUTE(SUBSTITUTE(SUBSTITUTE(Z2590,"~","~~"),"*","~*"),"?","~?"),$Z$5:$Z$5004,0)=2586,MAX($AA$4:AA2589)+1,""))</f>
        <v/>
      </c>
    </row>
    <row r="2591" spans="1:27">
      <c r="A2591" s="9"/>
      <c r="Z2591">
        <f>TRIM(A2591&amp;"")</f>
        <v/>
      </c>
      <c r="AA2591">
        <f>IF(Z2591="","",IF(MATCH(SUBSTITUTE(SUBSTITUTE(SUBSTITUTE(Z2591,"~","~~"),"*","~*"),"?","~?"),$Z$5:$Z$5004,0)=2587,MAX($AA$4:AA2590)+1,""))</f>
        <v/>
      </c>
    </row>
    <row r="2592" spans="1:27">
      <c r="A2592" s="9"/>
      <c r="Z2592">
        <f>TRIM(A2592&amp;"")</f>
        <v/>
      </c>
      <c r="AA2592">
        <f>IF(Z2592="","",IF(MATCH(SUBSTITUTE(SUBSTITUTE(SUBSTITUTE(Z2592,"~","~~"),"*","~*"),"?","~?"),$Z$5:$Z$5004,0)=2588,MAX($AA$4:AA2591)+1,""))</f>
        <v/>
      </c>
    </row>
    <row r="2593" spans="1:27">
      <c r="A2593" s="9"/>
      <c r="Z2593">
        <f>TRIM(A2593&amp;"")</f>
        <v/>
      </c>
      <c r="AA2593">
        <f>IF(Z2593="","",IF(MATCH(SUBSTITUTE(SUBSTITUTE(SUBSTITUTE(Z2593,"~","~~"),"*","~*"),"?","~?"),$Z$5:$Z$5004,0)=2589,MAX($AA$4:AA2592)+1,""))</f>
        <v/>
      </c>
    </row>
    <row r="2594" spans="1:27">
      <c r="A2594" s="9"/>
      <c r="Z2594">
        <f>TRIM(A2594&amp;"")</f>
        <v/>
      </c>
      <c r="AA2594">
        <f>IF(Z2594="","",IF(MATCH(SUBSTITUTE(SUBSTITUTE(SUBSTITUTE(Z2594,"~","~~"),"*","~*"),"?","~?"),$Z$5:$Z$5004,0)=2590,MAX($AA$4:AA2593)+1,""))</f>
        <v/>
      </c>
    </row>
    <row r="2595" spans="1:27">
      <c r="A2595" s="9"/>
      <c r="Z2595">
        <f>TRIM(A2595&amp;"")</f>
        <v/>
      </c>
      <c r="AA2595">
        <f>IF(Z2595="","",IF(MATCH(SUBSTITUTE(SUBSTITUTE(SUBSTITUTE(Z2595,"~","~~"),"*","~*"),"?","~?"),$Z$5:$Z$5004,0)=2591,MAX($AA$4:AA2594)+1,""))</f>
        <v/>
      </c>
    </row>
    <row r="2596" spans="1:27">
      <c r="A2596" s="9"/>
      <c r="Z2596">
        <f>TRIM(A2596&amp;"")</f>
        <v/>
      </c>
      <c r="AA2596">
        <f>IF(Z2596="","",IF(MATCH(SUBSTITUTE(SUBSTITUTE(SUBSTITUTE(Z2596,"~","~~"),"*","~*"),"?","~?"),$Z$5:$Z$5004,0)=2592,MAX($AA$4:AA2595)+1,""))</f>
        <v/>
      </c>
    </row>
    <row r="2597" spans="1:27">
      <c r="A2597" s="9"/>
      <c r="Z2597">
        <f>TRIM(A2597&amp;"")</f>
        <v/>
      </c>
      <c r="AA2597">
        <f>IF(Z2597="","",IF(MATCH(SUBSTITUTE(SUBSTITUTE(SUBSTITUTE(Z2597,"~","~~"),"*","~*"),"?","~?"),$Z$5:$Z$5004,0)=2593,MAX($AA$4:AA2596)+1,""))</f>
        <v/>
      </c>
    </row>
    <row r="2598" spans="1:27">
      <c r="A2598" s="9"/>
      <c r="Z2598">
        <f>TRIM(A2598&amp;"")</f>
        <v/>
      </c>
      <c r="AA2598">
        <f>IF(Z2598="","",IF(MATCH(SUBSTITUTE(SUBSTITUTE(SUBSTITUTE(Z2598,"~","~~"),"*","~*"),"?","~?"),$Z$5:$Z$5004,0)=2594,MAX($AA$4:AA2597)+1,""))</f>
        <v/>
      </c>
    </row>
    <row r="2599" spans="1:27">
      <c r="A2599" s="9"/>
      <c r="Z2599">
        <f>TRIM(A2599&amp;"")</f>
        <v/>
      </c>
      <c r="AA2599">
        <f>IF(Z2599="","",IF(MATCH(SUBSTITUTE(SUBSTITUTE(SUBSTITUTE(Z2599,"~","~~"),"*","~*"),"?","~?"),$Z$5:$Z$5004,0)=2595,MAX($AA$4:AA2598)+1,""))</f>
        <v/>
      </c>
    </row>
    <row r="2600" spans="1:27">
      <c r="A2600" s="9"/>
      <c r="Z2600">
        <f>TRIM(A2600&amp;"")</f>
        <v/>
      </c>
      <c r="AA2600">
        <f>IF(Z2600="","",IF(MATCH(SUBSTITUTE(SUBSTITUTE(SUBSTITUTE(Z2600,"~","~~"),"*","~*"),"?","~?"),$Z$5:$Z$5004,0)=2596,MAX($AA$4:AA2599)+1,""))</f>
        <v/>
      </c>
    </row>
    <row r="2601" spans="1:27">
      <c r="A2601" s="9"/>
      <c r="Z2601">
        <f>TRIM(A2601&amp;"")</f>
        <v/>
      </c>
      <c r="AA2601">
        <f>IF(Z2601="","",IF(MATCH(SUBSTITUTE(SUBSTITUTE(SUBSTITUTE(Z2601,"~","~~"),"*","~*"),"?","~?"),$Z$5:$Z$5004,0)=2597,MAX($AA$4:AA2600)+1,""))</f>
        <v/>
      </c>
    </row>
    <row r="2602" spans="1:27">
      <c r="A2602" s="9"/>
      <c r="Z2602">
        <f>TRIM(A2602&amp;"")</f>
        <v/>
      </c>
      <c r="AA2602">
        <f>IF(Z2602="","",IF(MATCH(SUBSTITUTE(SUBSTITUTE(SUBSTITUTE(Z2602,"~","~~"),"*","~*"),"?","~?"),$Z$5:$Z$5004,0)=2598,MAX($AA$4:AA2601)+1,""))</f>
        <v/>
      </c>
    </row>
    <row r="2603" spans="1:27">
      <c r="A2603" s="9"/>
      <c r="Z2603">
        <f>TRIM(A2603&amp;"")</f>
        <v/>
      </c>
      <c r="AA2603">
        <f>IF(Z2603="","",IF(MATCH(SUBSTITUTE(SUBSTITUTE(SUBSTITUTE(Z2603,"~","~~"),"*","~*"),"?","~?"),$Z$5:$Z$5004,0)=2599,MAX($AA$4:AA2602)+1,""))</f>
        <v/>
      </c>
    </row>
    <row r="2604" spans="1:27">
      <c r="A2604" s="9"/>
      <c r="Z2604">
        <f>TRIM(A2604&amp;"")</f>
        <v/>
      </c>
      <c r="AA2604">
        <f>IF(Z2604="","",IF(MATCH(SUBSTITUTE(SUBSTITUTE(SUBSTITUTE(Z2604,"~","~~"),"*","~*"),"?","~?"),$Z$5:$Z$5004,0)=2600,MAX($AA$4:AA2603)+1,""))</f>
        <v/>
      </c>
    </row>
    <row r="2605" spans="1:27">
      <c r="A2605" s="9"/>
      <c r="Z2605">
        <f>TRIM(A2605&amp;"")</f>
        <v/>
      </c>
      <c r="AA2605">
        <f>IF(Z2605="","",IF(MATCH(SUBSTITUTE(SUBSTITUTE(SUBSTITUTE(Z2605,"~","~~"),"*","~*"),"?","~?"),$Z$5:$Z$5004,0)=2601,MAX($AA$4:AA2604)+1,""))</f>
        <v/>
      </c>
    </row>
    <row r="2606" spans="1:27">
      <c r="A2606" s="9"/>
      <c r="Z2606">
        <f>TRIM(A2606&amp;"")</f>
        <v/>
      </c>
      <c r="AA2606">
        <f>IF(Z2606="","",IF(MATCH(SUBSTITUTE(SUBSTITUTE(SUBSTITUTE(Z2606,"~","~~"),"*","~*"),"?","~?"),$Z$5:$Z$5004,0)=2602,MAX($AA$4:AA2605)+1,""))</f>
        <v/>
      </c>
    </row>
    <row r="2607" spans="1:27">
      <c r="A2607" s="9"/>
      <c r="Z2607">
        <f>TRIM(A2607&amp;"")</f>
        <v/>
      </c>
      <c r="AA2607">
        <f>IF(Z2607="","",IF(MATCH(SUBSTITUTE(SUBSTITUTE(SUBSTITUTE(Z2607,"~","~~"),"*","~*"),"?","~?"),$Z$5:$Z$5004,0)=2603,MAX($AA$4:AA2606)+1,""))</f>
        <v/>
      </c>
    </row>
    <row r="2608" spans="1:27">
      <c r="A2608" s="9"/>
      <c r="Z2608">
        <f>TRIM(A2608&amp;"")</f>
        <v/>
      </c>
      <c r="AA2608">
        <f>IF(Z2608="","",IF(MATCH(SUBSTITUTE(SUBSTITUTE(SUBSTITUTE(Z2608,"~","~~"),"*","~*"),"?","~?"),$Z$5:$Z$5004,0)=2604,MAX($AA$4:AA2607)+1,""))</f>
        <v/>
      </c>
    </row>
    <row r="2609" spans="1:27">
      <c r="A2609" s="9"/>
      <c r="Z2609">
        <f>TRIM(A2609&amp;"")</f>
        <v/>
      </c>
      <c r="AA2609">
        <f>IF(Z2609="","",IF(MATCH(SUBSTITUTE(SUBSTITUTE(SUBSTITUTE(Z2609,"~","~~"),"*","~*"),"?","~?"),$Z$5:$Z$5004,0)=2605,MAX($AA$4:AA2608)+1,""))</f>
        <v/>
      </c>
    </row>
    <row r="2610" spans="1:27">
      <c r="A2610" s="9"/>
      <c r="Z2610">
        <f>TRIM(A2610&amp;"")</f>
        <v/>
      </c>
      <c r="AA2610">
        <f>IF(Z2610="","",IF(MATCH(SUBSTITUTE(SUBSTITUTE(SUBSTITUTE(Z2610,"~","~~"),"*","~*"),"?","~?"),$Z$5:$Z$5004,0)=2606,MAX($AA$4:AA2609)+1,""))</f>
        <v/>
      </c>
    </row>
    <row r="2611" spans="1:27">
      <c r="A2611" s="9"/>
      <c r="Z2611">
        <f>TRIM(A2611&amp;"")</f>
        <v/>
      </c>
      <c r="AA2611">
        <f>IF(Z2611="","",IF(MATCH(SUBSTITUTE(SUBSTITUTE(SUBSTITUTE(Z2611,"~","~~"),"*","~*"),"?","~?"),$Z$5:$Z$5004,0)=2607,MAX($AA$4:AA2610)+1,""))</f>
        <v/>
      </c>
    </row>
    <row r="2612" spans="1:27">
      <c r="A2612" s="9"/>
      <c r="Z2612">
        <f>TRIM(A2612&amp;"")</f>
        <v/>
      </c>
      <c r="AA2612">
        <f>IF(Z2612="","",IF(MATCH(SUBSTITUTE(SUBSTITUTE(SUBSTITUTE(Z2612,"~","~~"),"*","~*"),"?","~?"),$Z$5:$Z$5004,0)=2608,MAX($AA$4:AA2611)+1,""))</f>
        <v/>
      </c>
    </row>
    <row r="2613" spans="1:27">
      <c r="A2613" s="9"/>
      <c r="Z2613">
        <f>TRIM(A2613&amp;"")</f>
        <v/>
      </c>
      <c r="AA2613">
        <f>IF(Z2613="","",IF(MATCH(SUBSTITUTE(SUBSTITUTE(SUBSTITUTE(Z2613,"~","~~"),"*","~*"),"?","~?"),$Z$5:$Z$5004,0)=2609,MAX($AA$4:AA2612)+1,""))</f>
        <v/>
      </c>
    </row>
    <row r="2614" spans="1:27">
      <c r="A2614" s="9"/>
      <c r="Z2614">
        <f>TRIM(A2614&amp;"")</f>
        <v/>
      </c>
      <c r="AA2614">
        <f>IF(Z2614="","",IF(MATCH(SUBSTITUTE(SUBSTITUTE(SUBSTITUTE(Z2614,"~","~~"),"*","~*"),"?","~?"),$Z$5:$Z$5004,0)=2610,MAX($AA$4:AA2613)+1,""))</f>
        <v/>
      </c>
    </row>
    <row r="2615" spans="1:27">
      <c r="A2615" s="9"/>
      <c r="Z2615">
        <f>TRIM(A2615&amp;"")</f>
        <v/>
      </c>
      <c r="AA2615">
        <f>IF(Z2615="","",IF(MATCH(SUBSTITUTE(SUBSTITUTE(SUBSTITUTE(Z2615,"~","~~"),"*","~*"),"?","~?"),$Z$5:$Z$5004,0)=2611,MAX($AA$4:AA2614)+1,""))</f>
        <v/>
      </c>
    </row>
    <row r="2616" spans="1:27">
      <c r="A2616" s="9"/>
      <c r="Z2616">
        <f>TRIM(A2616&amp;"")</f>
        <v/>
      </c>
      <c r="AA2616">
        <f>IF(Z2616="","",IF(MATCH(SUBSTITUTE(SUBSTITUTE(SUBSTITUTE(Z2616,"~","~~"),"*","~*"),"?","~?"),$Z$5:$Z$5004,0)=2612,MAX($AA$4:AA2615)+1,""))</f>
        <v/>
      </c>
    </row>
    <row r="2617" spans="1:27">
      <c r="A2617" s="9"/>
      <c r="Z2617">
        <f>TRIM(A2617&amp;"")</f>
        <v/>
      </c>
      <c r="AA2617">
        <f>IF(Z2617="","",IF(MATCH(SUBSTITUTE(SUBSTITUTE(SUBSTITUTE(Z2617,"~","~~"),"*","~*"),"?","~?"),$Z$5:$Z$5004,0)=2613,MAX($AA$4:AA2616)+1,""))</f>
        <v/>
      </c>
    </row>
    <row r="2618" spans="1:27">
      <c r="A2618" s="9"/>
      <c r="Z2618">
        <f>TRIM(A2618&amp;"")</f>
        <v/>
      </c>
      <c r="AA2618">
        <f>IF(Z2618="","",IF(MATCH(SUBSTITUTE(SUBSTITUTE(SUBSTITUTE(Z2618,"~","~~"),"*","~*"),"?","~?"),$Z$5:$Z$5004,0)=2614,MAX($AA$4:AA2617)+1,""))</f>
        <v/>
      </c>
    </row>
    <row r="2619" spans="1:27">
      <c r="A2619" s="9"/>
      <c r="Z2619">
        <f>TRIM(A2619&amp;"")</f>
        <v/>
      </c>
      <c r="AA2619">
        <f>IF(Z2619="","",IF(MATCH(SUBSTITUTE(SUBSTITUTE(SUBSTITUTE(Z2619,"~","~~"),"*","~*"),"?","~?"),$Z$5:$Z$5004,0)=2615,MAX($AA$4:AA2618)+1,""))</f>
        <v/>
      </c>
    </row>
    <row r="2620" spans="1:27">
      <c r="A2620" s="9"/>
      <c r="Z2620">
        <f>TRIM(A2620&amp;"")</f>
        <v/>
      </c>
      <c r="AA2620">
        <f>IF(Z2620="","",IF(MATCH(SUBSTITUTE(SUBSTITUTE(SUBSTITUTE(Z2620,"~","~~"),"*","~*"),"?","~?"),$Z$5:$Z$5004,0)=2616,MAX($AA$4:AA2619)+1,""))</f>
        <v/>
      </c>
    </row>
    <row r="2621" spans="1:27">
      <c r="A2621" s="9"/>
      <c r="Z2621">
        <f>TRIM(A2621&amp;"")</f>
        <v/>
      </c>
      <c r="AA2621">
        <f>IF(Z2621="","",IF(MATCH(SUBSTITUTE(SUBSTITUTE(SUBSTITUTE(Z2621,"~","~~"),"*","~*"),"?","~?"),$Z$5:$Z$5004,0)=2617,MAX($AA$4:AA2620)+1,""))</f>
        <v/>
      </c>
    </row>
    <row r="2622" spans="1:27">
      <c r="A2622" s="9"/>
      <c r="Z2622">
        <f>TRIM(A2622&amp;"")</f>
        <v/>
      </c>
      <c r="AA2622">
        <f>IF(Z2622="","",IF(MATCH(SUBSTITUTE(SUBSTITUTE(SUBSTITUTE(Z2622,"~","~~"),"*","~*"),"?","~?"),$Z$5:$Z$5004,0)=2618,MAX($AA$4:AA2621)+1,""))</f>
        <v/>
      </c>
    </row>
    <row r="2623" spans="1:27">
      <c r="A2623" s="9"/>
      <c r="Z2623">
        <f>TRIM(A2623&amp;"")</f>
        <v/>
      </c>
      <c r="AA2623">
        <f>IF(Z2623="","",IF(MATCH(SUBSTITUTE(SUBSTITUTE(SUBSTITUTE(Z2623,"~","~~"),"*","~*"),"?","~?"),$Z$5:$Z$5004,0)=2619,MAX($AA$4:AA2622)+1,""))</f>
        <v/>
      </c>
    </row>
    <row r="2624" spans="1:27">
      <c r="A2624" s="9"/>
      <c r="Z2624">
        <f>TRIM(A2624&amp;"")</f>
        <v/>
      </c>
      <c r="AA2624">
        <f>IF(Z2624="","",IF(MATCH(SUBSTITUTE(SUBSTITUTE(SUBSTITUTE(Z2624,"~","~~"),"*","~*"),"?","~?"),$Z$5:$Z$5004,0)=2620,MAX($AA$4:AA2623)+1,""))</f>
        <v/>
      </c>
    </row>
    <row r="2625" spans="1:27">
      <c r="A2625" s="9"/>
      <c r="Z2625">
        <f>TRIM(A2625&amp;"")</f>
        <v/>
      </c>
      <c r="AA2625">
        <f>IF(Z2625="","",IF(MATCH(SUBSTITUTE(SUBSTITUTE(SUBSTITUTE(Z2625,"~","~~"),"*","~*"),"?","~?"),$Z$5:$Z$5004,0)=2621,MAX($AA$4:AA2624)+1,""))</f>
        <v/>
      </c>
    </row>
    <row r="2626" spans="1:27">
      <c r="A2626" s="9"/>
      <c r="Z2626">
        <f>TRIM(A2626&amp;"")</f>
        <v/>
      </c>
      <c r="AA2626">
        <f>IF(Z2626="","",IF(MATCH(SUBSTITUTE(SUBSTITUTE(SUBSTITUTE(Z2626,"~","~~"),"*","~*"),"?","~?"),$Z$5:$Z$5004,0)=2622,MAX($AA$4:AA2625)+1,""))</f>
        <v/>
      </c>
    </row>
    <row r="2627" spans="1:27">
      <c r="A2627" s="9"/>
      <c r="Z2627">
        <f>TRIM(A2627&amp;"")</f>
        <v/>
      </c>
      <c r="AA2627">
        <f>IF(Z2627="","",IF(MATCH(SUBSTITUTE(SUBSTITUTE(SUBSTITUTE(Z2627,"~","~~"),"*","~*"),"?","~?"),$Z$5:$Z$5004,0)=2623,MAX($AA$4:AA2626)+1,""))</f>
        <v/>
      </c>
    </row>
    <row r="2628" spans="1:27">
      <c r="A2628" s="9"/>
      <c r="Z2628">
        <f>TRIM(A2628&amp;"")</f>
        <v/>
      </c>
      <c r="AA2628">
        <f>IF(Z2628="","",IF(MATCH(SUBSTITUTE(SUBSTITUTE(SUBSTITUTE(Z2628,"~","~~"),"*","~*"),"?","~?"),$Z$5:$Z$5004,0)=2624,MAX($AA$4:AA2627)+1,""))</f>
        <v/>
      </c>
    </row>
    <row r="2629" spans="1:27">
      <c r="A2629" s="9"/>
      <c r="Z2629">
        <f>TRIM(A2629&amp;"")</f>
        <v/>
      </c>
      <c r="AA2629">
        <f>IF(Z2629="","",IF(MATCH(SUBSTITUTE(SUBSTITUTE(SUBSTITUTE(Z2629,"~","~~"),"*","~*"),"?","~?"),$Z$5:$Z$5004,0)=2625,MAX($AA$4:AA2628)+1,""))</f>
        <v/>
      </c>
    </row>
    <row r="2630" spans="1:27">
      <c r="A2630" s="9"/>
      <c r="Z2630">
        <f>TRIM(A2630&amp;"")</f>
        <v/>
      </c>
      <c r="AA2630">
        <f>IF(Z2630="","",IF(MATCH(SUBSTITUTE(SUBSTITUTE(SUBSTITUTE(Z2630,"~","~~"),"*","~*"),"?","~?"),$Z$5:$Z$5004,0)=2626,MAX($AA$4:AA2629)+1,""))</f>
        <v/>
      </c>
    </row>
    <row r="2631" spans="1:27">
      <c r="A2631" s="9"/>
      <c r="Z2631">
        <f>TRIM(A2631&amp;"")</f>
        <v/>
      </c>
      <c r="AA2631">
        <f>IF(Z2631="","",IF(MATCH(SUBSTITUTE(SUBSTITUTE(SUBSTITUTE(Z2631,"~","~~"),"*","~*"),"?","~?"),$Z$5:$Z$5004,0)=2627,MAX($AA$4:AA2630)+1,""))</f>
        <v/>
      </c>
    </row>
    <row r="2632" spans="1:27">
      <c r="A2632" s="9"/>
      <c r="Z2632">
        <f>TRIM(A2632&amp;"")</f>
        <v/>
      </c>
      <c r="AA2632">
        <f>IF(Z2632="","",IF(MATCH(SUBSTITUTE(SUBSTITUTE(SUBSTITUTE(Z2632,"~","~~"),"*","~*"),"?","~?"),$Z$5:$Z$5004,0)=2628,MAX($AA$4:AA2631)+1,""))</f>
        <v/>
      </c>
    </row>
    <row r="2633" spans="1:27">
      <c r="A2633" s="9"/>
      <c r="Z2633">
        <f>TRIM(A2633&amp;"")</f>
        <v/>
      </c>
      <c r="AA2633">
        <f>IF(Z2633="","",IF(MATCH(SUBSTITUTE(SUBSTITUTE(SUBSTITUTE(Z2633,"~","~~"),"*","~*"),"?","~?"),$Z$5:$Z$5004,0)=2629,MAX($AA$4:AA2632)+1,""))</f>
        <v/>
      </c>
    </row>
    <row r="2634" spans="1:27">
      <c r="A2634" s="9"/>
      <c r="Z2634">
        <f>TRIM(A2634&amp;"")</f>
        <v/>
      </c>
      <c r="AA2634">
        <f>IF(Z2634="","",IF(MATCH(SUBSTITUTE(SUBSTITUTE(SUBSTITUTE(Z2634,"~","~~"),"*","~*"),"?","~?"),$Z$5:$Z$5004,0)=2630,MAX($AA$4:AA2633)+1,""))</f>
        <v/>
      </c>
    </row>
    <row r="2635" spans="1:27">
      <c r="A2635" s="9"/>
      <c r="Z2635">
        <f>TRIM(A2635&amp;"")</f>
        <v/>
      </c>
      <c r="AA2635">
        <f>IF(Z2635="","",IF(MATCH(SUBSTITUTE(SUBSTITUTE(SUBSTITUTE(Z2635,"~","~~"),"*","~*"),"?","~?"),$Z$5:$Z$5004,0)=2631,MAX($AA$4:AA2634)+1,""))</f>
        <v/>
      </c>
    </row>
    <row r="2636" spans="1:27">
      <c r="A2636" s="9"/>
      <c r="Z2636">
        <f>TRIM(A2636&amp;"")</f>
        <v/>
      </c>
      <c r="AA2636">
        <f>IF(Z2636="","",IF(MATCH(SUBSTITUTE(SUBSTITUTE(SUBSTITUTE(Z2636,"~","~~"),"*","~*"),"?","~?"),$Z$5:$Z$5004,0)=2632,MAX($AA$4:AA2635)+1,""))</f>
        <v/>
      </c>
    </row>
    <row r="2637" spans="1:27">
      <c r="A2637" s="9"/>
      <c r="Z2637">
        <f>TRIM(A2637&amp;"")</f>
        <v/>
      </c>
      <c r="AA2637">
        <f>IF(Z2637="","",IF(MATCH(SUBSTITUTE(SUBSTITUTE(SUBSTITUTE(Z2637,"~","~~"),"*","~*"),"?","~?"),$Z$5:$Z$5004,0)=2633,MAX($AA$4:AA2636)+1,""))</f>
        <v/>
      </c>
    </row>
    <row r="2638" spans="1:27">
      <c r="A2638" s="9"/>
      <c r="Z2638">
        <f>TRIM(A2638&amp;"")</f>
        <v/>
      </c>
      <c r="AA2638">
        <f>IF(Z2638="","",IF(MATCH(SUBSTITUTE(SUBSTITUTE(SUBSTITUTE(Z2638,"~","~~"),"*","~*"),"?","~?"),$Z$5:$Z$5004,0)=2634,MAX($AA$4:AA2637)+1,""))</f>
        <v/>
      </c>
    </row>
    <row r="2639" spans="1:27">
      <c r="A2639" s="9"/>
      <c r="Z2639">
        <f>TRIM(A2639&amp;"")</f>
        <v/>
      </c>
      <c r="AA2639">
        <f>IF(Z2639="","",IF(MATCH(SUBSTITUTE(SUBSTITUTE(SUBSTITUTE(Z2639,"~","~~"),"*","~*"),"?","~?"),$Z$5:$Z$5004,0)=2635,MAX($AA$4:AA2638)+1,""))</f>
        <v/>
      </c>
    </row>
    <row r="2640" spans="1:27">
      <c r="A2640" s="9"/>
      <c r="Z2640">
        <f>TRIM(A2640&amp;"")</f>
        <v/>
      </c>
      <c r="AA2640">
        <f>IF(Z2640="","",IF(MATCH(SUBSTITUTE(SUBSTITUTE(SUBSTITUTE(Z2640,"~","~~"),"*","~*"),"?","~?"),$Z$5:$Z$5004,0)=2636,MAX($AA$4:AA2639)+1,""))</f>
        <v/>
      </c>
    </row>
    <row r="2641" spans="1:27">
      <c r="A2641" s="9"/>
      <c r="Z2641">
        <f>TRIM(A2641&amp;"")</f>
        <v/>
      </c>
      <c r="AA2641">
        <f>IF(Z2641="","",IF(MATCH(SUBSTITUTE(SUBSTITUTE(SUBSTITUTE(Z2641,"~","~~"),"*","~*"),"?","~?"),$Z$5:$Z$5004,0)=2637,MAX($AA$4:AA2640)+1,""))</f>
        <v/>
      </c>
    </row>
    <row r="2642" spans="1:27">
      <c r="A2642" s="9"/>
      <c r="Z2642">
        <f>TRIM(A2642&amp;"")</f>
        <v/>
      </c>
      <c r="AA2642">
        <f>IF(Z2642="","",IF(MATCH(SUBSTITUTE(SUBSTITUTE(SUBSTITUTE(Z2642,"~","~~"),"*","~*"),"?","~?"),$Z$5:$Z$5004,0)=2638,MAX($AA$4:AA2641)+1,""))</f>
        <v/>
      </c>
    </row>
    <row r="2643" spans="1:27">
      <c r="A2643" s="9"/>
      <c r="Z2643">
        <f>TRIM(A2643&amp;"")</f>
        <v/>
      </c>
      <c r="AA2643">
        <f>IF(Z2643="","",IF(MATCH(SUBSTITUTE(SUBSTITUTE(SUBSTITUTE(Z2643,"~","~~"),"*","~*"),"?","~?"),$Z$5:$Z$5004,0)=2639,MAX($AA$4:AA2642)+1,""))</f>
        <v/>
      </c>
    </row>
    <row r="2644" spans="1:27">
      <c r="A2644" s="9"/>
      <c r="Z2644">
        <f>TRIM(A2644&amp;"")</f>
        <v/>
      </c>
      <c r="AA2644">
        <f>IF(Z2644="","",IF(MATCH(SUBSTITUTE(SUBSTITUTE(SUBSTITUTE(Z2644,"~","~~"),"*","~*"),"?","~?"),$Z$5:$Z$5004,0)=2640,MAX($AA$4:AA2643)+1,""))</f>
        <v/>
      </c>
    </row>
    <row r="2645" spans="1:27">
      <c r="A2645" s="9"/>
      <c r="Z2645">
        <f>TRIM(A2645&amp;"")</f>
        <v/>
      </c>
      <c r="AA2645">
        <f>IF(Z2645="","",IF(MATCH(SUBSTITUTE(SUBSTITUTE(SUBSTITUTE(Z2645,"~","~~"),"*","~*"),"?","~?"),$Z$5:$Z$5004,0)=2641,MAX($AA$4:AA2644)+1,""))</f>
        <v/>
      </c>
    </row>
    <row r="2646" spans="1:27">
      <c r="A2646" s="9"/>
      <c r="Z2646">
        <f>TRIM(A2646&amp;"")</f>
        <v/>
      </c>
      <c r="AA2646">
        <f>IF(Z2646="","",IF(MATCH(SUBSTITUTE(SUBSTITUTE(SUBSTITUTE(Z2646,"~","~~"),"*","~*"),"?","~?"),$Z$5:$Z$5004,0)=2642,MAX($AA$4:AA2645)+1,""))</f>
        <v/>
      </c>
    </row>
    <row r="2647" spans="1:27">
      <c r="A2647" s="9"/>
      <c r="Z2647">
        <f>TRIM(A2647&amp;"")</f>
        <v/>
      </c>
      <c r="AA2647">
        <f>IF(Z2647="","",IF(MATCH(SUBSTITUTE(SUBSTITUTE(SUBSTITUTE(Z2647,"~","~~"),"*","~*"),"?","~?"),$Z$5:$Z$5004,0)=2643,MAX($AA$4:AA2646)+1,""))</f>
        <v/>
      </c>
    </row>
    <row r="2648" spans="1:27">
      <c r="A2648" s="9"/>
      <c r="Z2648">
        <f>TRIM(A2648&amp;"")</f>
        <v/>
      </c>
      <c r="AA2648">
        <f>IF(Z2648="","",IF(MATCH(SUBSTITUTE(SUBSTITUTE(SUBSTITUTE(Z2648,"~","~~"),"*","~*"),"?","~?"),$Z$5:$Z$5004,0)=2644,MAX($AA$4:AA2647)+1,""))</f>
        <v/>
      </c>
    </row>
    <row r="2649" spans="1:27">
      <c r="A2649" s="9"/>
      <c r="Z2649">
        <f>TRIM(A2649&amp;"")</f>
        <v/>
      </c>
      <c r="AA2649">
        <f>IF(Z2649="","",IF(MATCH(SUBSTITUTE(SUBSTITUTE(SUBSTITUTE(Z2649,"~","~~"),"*","~*"),"?","~?"),$Z$5:$Z$5004,0)=2645,MAX($AA$4:AA2648)+1,""))</f>
        <v/>
      </c>
    </row>
    <row r="2650" spans="1:27">
      <c r="A2650" s="9"/>
      <c r="Z2650">
        <f>TRIM(A2650&amp;"")</f>
        <v/>
      </c>
      <c r="AA2650">
        <f>IF(Z2650="","",IF(MATCH(SUBSTITUTE(SUBSTITUTE(SUBSTITUTE(Z2650,"~","~~"),"*","~*"),"?","~?"),$Z$5:$Z$5004,0)=2646,MAX($AA$4:AA2649)+1,""))</f>
        <v/>
      </c>
    </row>
    <row r="2651" spans="1:27">
      <c r="A2651" s="9"/>
      <c r="Z2651">
        <f>TRIM(A2651&amp;"")</f>
        <v/>
      </c>
      <c r="AA2651">
        <f>IF(Z2651="","",IF(MATCH(SUBSTITUTE(SUBSTITUTE(SUBSTITUTE(Z2651,"~","~~"),"*","~*"),"?","~?"),$Z$5:$Z$5004,0)=2647,MAX($AA$4:AA2650)+1,""))</f>
        <v/>
      </c>
    </row>
    <row r="2652" spans="1:27">
      <c r="A2652" s="9"/>
      <c r="Z2652">
        <f>TRIM(A2652&amp;"")</f>
        <v/>
      </c>
      <c r="AA2652">
        <f>IF(Z2652="","",IF(MATCH(SUBSTITUTE(SUBSTITUTE(SUBSTITUTE(Z2652,"~","~~"),"*","~*"),"?","~?"),$Z$5:$Z$5004,0)=2648,MAX($AA$4:AA2651)+1,""))</f>
        <v/>
      </c>
    </row>
    <row r="2653" spans="1:27">
      <c r="A2653" s="9"/>
      <c r="Z2653">
        <f>TRIM(A2653&amp;"")</f>
        <v/>
      </c>
      <c r="AA2653">
        <f>IF(Z2653="","",IF(MATCH(SUBSTITUTE(SUBSTITUTE(SUBSTITUTE(Z2653,"~","~~"),"*","~*"),"?","~?"),$Z$5:$Z$5004,0)=2649,MAX($AA$4:AA2652)+1,""))</f>
        <v/>
      </c>
    </row>
    <row r="2654" spans="1:27">
      <c r="A2654" s="9"/>
      <c r="Z2654">
        <f>TRIM(A2654&amp;"")</f>
        <v/>
      </c>
      <c r="AA2654">
        <f>IF(Z2654="","",IF(MATCH(SUBSTITUTE(SUBSTITUTE(SUBSTITUTE(Z2654,"~","~~"),"*","~*"),"?","~?"),$Z$5:$Z$5004,0)=2650,MAX($AA$4:AA2653)+1,""))</f>
        <v/>
      </c>
    </row>
    <row r="2655" spans="1:27">
      <c r="A2655" s="9"/>
      <c r="Z2655">
        <f>TRIM(A2655&amp;"")</f>
        <v/>
      </c>
      <c r="AA2655">
        <f>IF(Z2655="","",IF(MATCH(SUBSTITUTE(SUBSTITUTE(SUBSTITUTE(Z2655,"~","~~"),"*","~*"),"?","~?"),$Z$5:$Z$5004,0)=2651,MAX($AA$4:AA2654)+1,""))</f>
        <v/>
      </c>
    </row>
    <row r="2656" spans="1:27">
      <c r="A2656" s="9"/>
      <c r="Z2656">
        <f>TRIM(A2656&amp;"")</f>
        <v/>
      </c>
      <c r="AA2656">
        <f>IF(Z2656="","",IF(MATCH(SUBSTITUTE(SUBSTITUTE(SUBSTITUTE(Z2656,"~","~~"),"*","~*"),"?","~?"),$Z$5:$Z$5004,0)=2652,MAX($AA$4:AA2655)+1,""))</f>
        <v/>
      </c>
    </row>
    <row r="2657" spans="1:27">
      <c r="A2657" s="9"/>
      <c r="Z2657">
        <f>TRIM(A2657&amp;"")</f>
        <v/>
      </c>
      <c r="AA2657">
        <f>IF(Z2657="","",IF(MATCH(SUBSTITUTE(SUBSTITUTE(SUBSTITUTE(Z2657,"~","~~"),"*","~*"),"?","~?"),$Z$5:$Z$5004,0)=2653,MAX($AA$4:AA2656)+1,""))</f>
        <v/>
      </c>
    </row>
    <row r="2658" spans="1:27">
      <c r="A2658" s="9"/>
      <c r="Z2658">
        <f>TRIM(A2658&amp;"")</f>
        <v/>
      </c>
      <c r="AA2658">
        <f>IF(Z2658="","",IF(MATCH(SUBSTITUTE(SUBSTITUTE(SUBSTITUTE(Z2658,"~","~~"),"*","~*"),"?","~?"),$Z$5:$Z$5004,0)=2654,MAX($AA$4:AA2657)+1,""))</f>
        <v/>
      </c>
    </row>
    <row r="2659" spans="1:27">
      <c r="A2659" s="9"/>
      <c r="Z2659">
        <f>TRIM(A2659&amp;"")</f>
        <v/>
      </c>
      <c r="AA2659">
        <f>IF(Z2659="","",IF(MATCH(SUBSTITUTE(SUBSTITUTE(SUBSTITUTE(Z2659,"~","~~"),"*","~*"),"?","~?"),$Z$5:$Z$5004,0)=2655,MAX($AA$4:AA2658)+1,""))</f>
        <v/>
      </c>
    </row>
    <row r="2660" spans="1:27">
      <c r="A2660" s="9"/>
      <c r="Z2660">
        <f>TRIM(A2660&amp;"")</f>
        <v/>
      </c>
      <c r="AA2660">
        <f>IF(Z2660="","",IF(MATCH(SUBSTITUTE(SUBSTITUTE(SUBSTITUTE(Z2660,"~","~~"),"*","~*"),"?","~?"),$Z$5:$Z$5004,0)=2656,MAX($AA$4:AA2659)+1,""))</f>
        <v/>
      </c>
    </row>
    <row r="2661" spans="1:27">
      <c r="A2661" s="9"/>
      <c r="Z2661">
        <f>TRIM(A2661&amp;"")</f>
        <v/>
      </c>
      <c r="AA2661">
        <f>IF(Z2661="","",IF(MATCH(SUBSTITUTE(SUBSTITUTE(SUBSTITUTE(Z2661,"~","~~"),"*","~*"),"?","~?"),$Z$5:$Z$5004,0)=2657,MAX($AA$4:AA2660)+1,""))</f>
        <v/>
      </c>
    </row>
    <row r="2662" spans="1:27">
      <c r="A2662" s="9"/>
      <c r="Z2662">
        <f>TRIM(A2662&amp;"")</f>
        <v/>
      </c>
      <c r="AA2662">
        <f>IF(Z2662="","",IF(MATCH(SUBSTITUTE(SUBSTITUTE(SUBSTITUTE(Z2662,"~","~~"),"*","~*"),"?","~?"),$Z$5:$Z$5004,0)=2658,MAX($AA$4:AA2661)+1,""))</f>
        <v/>
      </c>
    </row>
    <row r="2663" spans="1:27">
      <c r="A2663" s="9"/>
      <c r="Z2663">
        <f>TRIM(A2663&amp;"")</f>
        <v/>
      </c>
      <c r="AA2663">
        <f>IF(Z2663="","",IF(MATCH(SUBSTITUTE(SUBSTITUTE(SUBSTITUTE(Z2663,"~","~~"),"*","~*"),"?","~?"),$Z$5:$Z$5004,0)=2659,MAX($AA$4:AA2662)+1,""))</f>
        <v/>
      </c>
    </row>
    <row r="2664" spans="1:27">
      <c r="A2664" s="9"/>
      <c r="Z2664">
        <f>TRIM(A2664&amp;"")</f>
        <v/>
      </c>
      <c r="AA2664">
        <f>IF(Z2664="","",IF(MATCH(SUBSTITUTE(SUBSTITUTE(SUBSTITUTE(Z2664,"~","~~"),"*","~*"),"?","~?"),$Z$5:$Z$5004,0)=2660,MAX($AA$4:AA2663)+1,""))</f>
        <v/>
      </c>
    </row>
    <row r="2665" spans="1:27">
      <c r="A2665" s="9"/>
      <c r="Z2665">
        <f>TRIM(A2665&amp;"")</f>
        <v/>
      </c>
      <c r="AA2665">
        <f>IF(Z2665="","",IF(MATCH(SUBSTITUTE(SUBSTITUTE(SUBSTITUTE(Z2665,"~","~~"),"*","~*"),"?","~?"),$Z$5:$Z$5004,0)=2661,MAX($AA$4:AA2664)+1,""))</f>
        <v/>
      </c>
    </row>
    <row r="2666" spans="1:27">
      <c r="A2666" s="9"/>
      <c r="Z2666">
        <f>TRIM(A2666&amp;"")</f>
        <v/>
      </c>
      <c r="AA2666">
        <f>IF(Z2666="","",IF(MATCH(SUBSTITUTE(SUBSTITUTE(SUBSTITUTE(Z2666,"~","~~"),"*","~*"),"?","~?"),$Z$5:$Z$5004,0)=2662,MAX($AA$4:AA2665)+1,""))</f>
        <v/>
      </c>
    </row>
    <row r="2667" spans="1:27">
      <c r="A2667" s="9"/>
      <c r="Z2667">
        <f>TRIM(A2667&amp;"")</f>
        <v/>
      </c>
      <c r="AA2667">
        <f>IF(Z2667="","",IF(MATCH(SUBSTITUTE(SUBSTITUTE(SUBSTITUTE(Z2667,"~","~~"),"*","~*"),"?","~?"),$Z$5:$Z$5004,0)=2663,MAX($AA$4:AA2666)+1,""))</f>
        <v/>
      </c>
    </row>
    <row r="2668" spans="1:27">
      <c r="A2668" s="9"/>
      <c r="Z2668">
        <f>TRIM(A2668&amp;"")</f>
        <v/>
      </c>
      <c r="AA2668">
        <f>IF(Z2668="","",IF(MATCH(SUBSTITUTE(SUBSTITUTE(SUBSTITUTE(Z2668,"~","~~"),"*","~*"),"?","~?"),$Z$5:$Z$5004,0)=2664,MAX($AA$4:AA2667)+1,""))</f>
        <v/>
      </c>
    </row>
    <row r="2669" spans="1:27">
      <c r="A2669" s="9"/>
      <c r="Z2669">
        <f>TRIM(A2669&amp;"")</f>
        <v/>
      </c>
      <c r="AA2669">
        <f>IF(Z2669="","",IF(MATCH(SUBSTITUTE(SUBSTITUTE(SUBSTITUTE(Z2669,"~","~~"),"*","~*"),"?","~?"),$Z$5:$Z$5004,0)=2665,MAX($AA$4:AA2668)+1,""))</f>
        <v/>
      </c>
    </row>
    <row r="2670" spans="1:27">
      <c r="A2670" s="9"/>
      <c r="Z2670">
        <f>TRIM(A2670&amp;"")</f>
        <v/>
      </c>
      <c r="AA2670">
        <f>IF(Z2670="","",IF(MATCH(SUBSTITUTE(SUBSTITUTE(SUBSTITUTE(Z2670,"~","~~"),"*","~*"),"?","~?"),$Z$5:$Z$5004,0)=2666,MAX($AA$4:AA2669)+1,""))</f>
        <v/>
      </c>
    </row>
    <row r="2671" spans="1:27">
      <c r="A2671" s="9"/>
      <c r="Z2671">
        <f>TRIM(A2671&amp;"")</f>
        <v/>
      </c>
      <c r="AA2671">
        <f>IF(Z2671="","",IF(MATCH(SUBSTITUTE(SUBSTITUTE(SUBSTITUTE(Z2671,"~","~~"),"*","~*"),"?","~?"),$Z$5:$Z$5004,0)=2667,MAX($AA$4:AA2670)+1,""))</f>
        <v/>
      </c>
    </row>
    <row r="2672" spans="1:27">
      <c r="A2672" s="9"/>
      <c r="Z2672">
        <f>TRIM(A2672&amp;"")</f>
        <v/>
      </c>
      <c r="AA2672">
        <f>IF(Z2672="","",IF(MATCH(SUBSTITUTE(SUBSTITUTE(SUBSTITUTE(Z2672,"~","~~"),"*","~*"),"?","~?"),$Z$5:$Z$5004,0)=2668,MAX($AA$4:AA2671)+1,""))</f>
        <v/>
      </c>
    </row>
    <row r="2673" spans="1:27">
      <c r="A2673" s="9"/>
      <c r="Z2673">
        <f>TRIM(A2673&amp;"")</f>
        <v/>
      </c>
      <c r="AA2673">
        <f>IF(Z2673="","",IF(MATCH(SUBSTITUTE(SUBSTITUTE(SUBSTITUTE(Z2673,"~","~~"),"*","~*"),"?","~?"),$Z$5:$Z$5004,0)=2669,MAX($AA$4:AA2672)+1,""))</f>
        <v/>
      </c>
    </row>
    <row r="2674" spans="1:27">
      <c r="A2674" s="9"/>
      <c r="Z2674">
        <f>TRIM(A2674&amp;"")</f>
        <v/>
      </c>
      <c r="AA2674">
        <f>IF(Z2674="","",IF(MATCH(SUBSTITUTE(SUBSTITUTE(SUBSTITUTE(Z2674,"~","~~"),"*","~*"),"?","~?"),$Z$5:$Z$5004,0)=2670,MAX($AA$4:AA2673)+1,""))</f>
        <v/>
      </c>
    </row>
    <row r="2675" spans="1:27">
      <c r="A2675" s="9"/>
      <c r="Z2675">
        <f>TRIM(A2675&amp;"")</f>
        <v/>
      </c>
      <c r="AA2675">
        <f>IF(Z2675="","",IF(MATCH(SUBSTITUTE(SUBSTITUTE(SUBSTITUTE(Z2675,"~","~~"),"*","~*"),"?","~?"),$Z$5:$Z$5004,0)=2671,MAX($AA$4:AA2674)+1,""))</f>
        <v/>
      </c>
    </row>
    <row r="2676" spans="1:27">
      <c r="A2676" s="9"/>
      <c r="Z2676">
        <f>TRIM(A2676&amp;"")</f>
        <v/>
      </c>
      <c r="AA2676">
        <f>IF(Z2676="","",IF(MATCH(SUBSTITUTE(SUBSTITUTE(SUBSTITUTE(Z2676,"~","~~"),"*","~*"),"?","~?"),$Z$5:$Z$5004,0)=2672,MAX($AA$4:AA2675)+1,""))</f>
        <v/>
      </c>
    </row>
    <row r="2677" spans="1:27">
      <c r="A2677" s="9"/>
      <c r="Z2677">
        <f>TRIM(A2677&amp;"")</f>
        <v/>
      </c>
      <c r="AA2677">
        <f>IF(Z2677="","",IF(MATCH(SUBSTITUTE(SUBSTITUTE(SUBSTITUTE(Z2677,"~","~~"),"*","~*"),"?","~?"),$Z$5:$Z$5004,0)=2673,MAX($AA$4:AA2676)+1,""))</f>
        <v/>
      </c>
    </row>
    <row r="2678" spans="1:27">
      <c r="A2678" s="9"/>
      <c r="Z2678">
        <f>TRIM(A2678&amp;"")</f>
        <v/>
      </c>
      <c r="AA2678">
        <f>IF(Z2678="","",IF(MATCH(SUBSTITUTE(SUBSTITUTE(SUBSTITUTE(Z2678,"~","~~"),"*","~*"),"?","~?"),$Z$5:$Z$5004,0)=2674,MAX($AA$4:AA2677)+1,""))</f>
        <v/>
      </c>
    </row>
    <row r="2679" spans="1:27">
      <c r="A2679" s="9"/>
      <c r="Z2679">
        <f>TRIM(A2679&amp;"")</f>
        <v/>
      </c>
      <c r="AA2679">
        <f>IF(Z2679="","",IF(MATCH(SUBSTITUTE(SUBSTITUTE(SUBSTITUTE(Z2679,"~","~~"),"*","~*"),"?","~?"),$Z$5:$Z$5004,0)=2675,MAX($AA$4:AA2678)+1,""))</f>
        <v/>
      </c>
    </row>
    <row r="2680" spans="1:27">
      <c r="A2680" s="9"/>
      <c r="Z2680">
        <f>TRIM(A2680&amp;"")</f>
        <v/>
      </c>
      <c r="AA2680">
        <f>IF(Z2680="","",IF(MATCH(SUBSTITUTE(SUBSTITUTE(SUBSTITUTE(Z2680,"~","~~"),"*","~*"),"?","~?"),$Z$5:$Z$5004,0)=2676,MAX($AA$4:AA2679)+1,""))</f>
        <v/>
      </c>
    </row>
    <row r="2681" spans="1:27">
      <c r="A2681" s="9"/>
      <c r="Z2681">
        <f>TRIM(A2681&amp;"")</f>
        <v/>
      </c>
      <c r="AA2681">
        <f>IF(Z2681="","",IF(MATCH(SUBSTITUTE(SUBSTITUTE(SUBSTITUTE(Z2681,"~","~~"),"*","~*"),"?","~?"),$Z$5:$Z$5004,0)=2677,MAX($AA$4:AA2680)+1,""))</f>
        <v/>
      </c>
    </row>
    <row r="2682" spans="1:27">
      <c r="A2682" s="9"/>
      <c r="Z2682">
        <f>TRIM(A2682&amp;"")</f>
        <v/>
      </c>
      <c r="AA2682">
        <f>IF(Z2682="","",IF(MATCH(SUBSTITUTE(SUBSTITUTE(SUBSTITUTE(Z2682,"~","~~"),"*","~*"),"?","~?"),$Z$5:$Z$5004,0)=2678,MAX($AA$4:AA2681)+1,""))</f>
        <v/>
      </c>
    </row>
    <row r="2683" spans="1:27">
      <c r="A2683" s="9"/>
      <c r="Z2683">
        <f>TRIM(A2683&amp;"")</f>
        <v/>
      </c>
      <c r="AA2683">
        <f>IF(Z2683="","",IF(MATCH(SUBSTITUTE(SUBSTITUTE(SUBSTITUTE(Z2683,"~","~~"),"*","~*"),"?","~?"),$Z$5:$Z$5004,0)=2679,MAX($AA$4:AA2682)+1,""))</f>
        <v/>
      </c>
    </row>
    <row r="2684" spans="1:27">
      <c r="A2684" s="9"/>
      <c r="Z2684">
        <f>TRIM(A2684&amp;"")</f>
        <v/>
      </c>
      <c r="AA2684">
        <f>IF(Z2684="","",IF(MATCH(SUBSTITUTE(SUBSTITUTE(SUBSTITUTE(Z2684,"~","~~"),"*","~*"),"?","~?"),$Z$5:$Z$5004,0)=2680,MAX($AA$4:AA2683)+1,""))</f>
        <v/>
      </c>
    </row>
    <row r="2685" spans="1:27">
      <c r="A2685" s="9"/>
      <c r="Z2685">
        <f>TRIM(A2685&amp;"")</f>
        <v/>
      </c>
      <c r="AA2685">
        <f>IF(Z2685="","",IF(MATCH(SUBSTITUTE(SUBSTITUTE(SUBSTITUTE(Z2685,"~","~~"),"*","~*"),"?","~?"),$Z$5:$Z$5004,0)=2681,MAX($AA$4:AA2684)+1,""))</f>
        <v/>
      </c>
    </row>
    <row r="2686" spans="1:27">
      <c r="A2686" s="9"/>
      <c r="Z2686">
        <f>TRIM(A2686&amp;"")</f>
        <v/>
      </c>
      <c r="AA2686">
        <f>IF(Z2686="","",IF(MATCH(SUBSTITUTE(SUBSTITUTE(SUBSTITUTE(Z2686,"~","~~"),"*","~*"),"?","~?"),$Z$5:$Z$5004,0)=2682,MAX($AA$4:AA2685)+1,""))</f>
        <v/>
      </c>
    </row>
    <row r="2687" spans="1:27">
      <c r="A2687" s="9"/>
      <c r="Z2687">
        <f>TRIM(A2687&amp;"")</f>
        <v/>
      </c>
      <c r="AA2687">
        <f>IF(Z2687="","",IF(MATCH(SUBSTITUTE(SUBSTITUTE(SUBSTITUTE(Z2687,"~","~~"),"*","~*"),"?","~?"),$Z$5:$Z$5004,0)=2683,MAX($AA$4:AA2686)+1,""))</f>
        <v/>
      </c>
    </row>
    <row r="2688" spans="1:27">
      <c r="A2688" s="9"/>
      <c r="Z2688">
        <f>TRIM(A2688&amp;"")</f>
        <v/>
      </c>
      <c r="AA2688">
        <f>IF(Z2688="","",IF(MATCH(SUBSTITUTE(SUBSTITUTE(SUBSTITUTE(Z2688,"~","~~"),"*","~*"),"?","~?"),$Z$5:$Z$5004,0)=2684,MAX($AA$4:AA2687)+1,""))</f>
        <v/>
      </c>
    </row>
    <row r="2689" spans="1:27">
      <c r="A2689" s="9"/>
      <c r="Z2689">
        <f>TRIM(A2689&amp;"")</f>
        <v/>
      </c>
      <c r="AA2689">
        <f>IF(Z2689="","",IF(MATCH(SUBSTITUTE(SUBSTITUTE(SUBSTITUTE(Z2689,"~","~~"),"*","~*"),"?","~?"),$Z$5:$Z$5004,0)=2685,MAX($AA$4:AA2688)+1,""))</f>
        <v/>
      </c>
    </row>
    <row r="2690" spans="1:27">
      <c r="A2690" s="9"/>
      <c r="Z2690">
        <f>TRIM(A2690&amp;"")</f>
        <v/>
      </c>
      <c r="AA2690">
        <f>IF(Z2690="","",IF(MATCH(SUBSTITUTE(SUBSTITUTE(SUBSTITUTE(Z2690,"~","~~"),"*","~*"),"?","~?"),$Z$5:$Z$5004,0)=2686,MAX($AA$4:AA2689)+1,""))</f>
        <v/>
      </c>
    </row>
    <row r="2691" spans="1:27">
      <c r="A2691" s="9"/>
      <c r="Z2691">
        <f>TRIM(A2691&amp;"")</f>
        <v/>
      </c>
      <c r="AA2691">
        <f>IF(Z2691="","",IF(MATCH(SUBSTITUTE(SUBSTITUTE(SUBSTITUTE(Z2691,"~","~~"),"*","~*"),"?","~?"),$Z$5:$Z$5004,0)=2687,MAX($AA$4:AA2690)+1,""))</f>
        <v/>
      </c>
    </row>
    <row r="2692" spans="1:27">
      <c r="A2692" s="9"/>
      <c r="Z2692">
        <f>TRIM(A2692&amp;"")</f>
        <v/>
      </c>
      <c r="AA2692">
        <f>IF(Z2692="","",IF(MATCH(SUBSTITUTE(SUBSTITUTE(SUBSTITUTE(Z2692,"~","~~"),"*","~*"),"?","~?"),$Z$5:$Z$5004,0)=2688,MAX($AA$4:AA2691)+1,""))</f>
        <v/>
      </c>
    </row>
    <row r="2693" spans="1:27">
      <c r="A2693" s="9"/>
      <c r="Z2693">
        <f>TRIM(A2693&amp;"")</f>
        <v/>
      </c>
      <c r="AA2693">
        <f>IF(Z2693="","",IF(MATCH(SUBSTITUTE(SUBSTITUTE(SUBSTITUTE(Z2693,"~","~~"),"*","~*"),"?","~?"),$Z$5:$Z$5004,0)=2689,MAX($AA$4:AA2692)+1,""))</f>
        <v/>
      </c>
    </row>
    <row r="2694" spans="1:27">
      <c r="A2694" s="9"/>
      <c r="Z2694">
        <f>TRIM(A2694&amp;"")</f>
        <v/>
      </c>
      <c r="AA2694">
        <f>IF(Z2694="","",IF(MATCH(SUBSTITUTE(SUBSTITUTE(SUBSTITUTE(Z2694,"~","~~"),"*","~*"),"?","~?"),$Z$5:$Z$5004,0)=2690,MAX($AA$4:AA2693)+1,""))</f>
        <v/>
      </c>
    </row>
    <row r="2695" spans="1:27">
      <c r="A2695" s="9"/>
      <c r="Z2695">
        <f>TRIM(A2695&amp;"")</f>
        <v/>
      </c>
      <c r="AA2695">
        <f>IF(Z2695="","",IF(MATCH(SUBSTITUTE(SUBSTITUTE(SUBSTITUTE(Z2695,"~","~~"),"*","~*"),"?","~?"),$Z$5:$Z$5004,0)=2691,MAX($AA$4:AA2694)+1,""))</f>
        <v/>
      </c>
    </row>
    <row r="2696" spans="1:27">
      <c r="A2696" s="9"/>
      <c r="Z2696">
        <f>TRIM(A2696&amp;"")</f>
        <v/>
      </c>
      <c r="AA2696">
        <f>IF(Z2696="","",IF(MATCH(SUBSTITUTE(SUBSTITUTE(SUBSTITUTE(Z2696,"~","~~"),"*","~*"),"?","~?"),$Z$5:$Z$5004,0)=2692,MAX($AA$4:AA2695)+1,""))</f>
        <v/>
      </c>
    </row>
    <row r="2697" spans="1:27">
      <c r="A2697" s="9"/>
      <c r="Z2697">
        <f>TRIM(A2697&amp;"")</f>
        <v/>
      </c>
      <c r="AA2697">
        <f>IF(Z2697="","",IF(MATCH(SUBSTITUTE(SUBSTITUTE(SUBSTITUTE(Z2697,"~","~~"),"*","~*"),"?","~?"),$Z$5:$Z$5004,0)=2693,MAX($AA$4:AA2696)+1,""))</f>
        <v/>
      </c>
    </row>
    <row r="2698" spans="1:27">
      <c r="A2698" s="9"/>
      <c r="Z2698">
        <f>TRIM(A2698&amp;"")</f>
        <v/>
      </c>
      <c r="AA2698">
        <f>IF(Z2698="","",IF(MATCH(SUBSTITUTE(SUBSTITUTE(SUBSTITUTE(Z2698,"~","~~"),"*","~*"),"?","~?"),$Z$5:$Z$5004,0)=2694,MAX($AA$4:AA2697)+1,""))</f>
        <v/>
      </c>
    </row>
    <row r="2699" spans="1:27">
      <c r="A2699" s="9"/>
      <c r="Z2699">
        <f>TRIM(A2699&amp;"")</f>
        <v/>
      </c>
      <c r="AA2699">
        <f>IF(Z2699="","",IF(MATCH(SUBSTITUTE(SUBSTITUTE(SUBSTITUTE(Z2699,"~","~~"),"*","~*"),"?","~?"),$Z$5:$Z$5004,0)=2695,MAX($AA$4:AA2698)+1,""))</f>
        <v/>
      </c>
    </row>
    <row r="2700" spans="1:27">
      <c r="A2700" s="9"/>
      <c r="Z2700">
        <f>TRIM(A2700&amp;"")</f>
        <v/>
      </c>
      <c r="AA2700">
        <f>IF(Z2700="","",IF(MATCH(SUBSTITUTE(SUBSTITUTE(SUBSTITUTE(Z2700,"~","~~"),"*","~*"),"?","~?"),$Z$5:$Z$5004,0)=2696,MAX($AA$4:AA2699)+1,""))</f>
        <v/>
      </c>
    </row>
    <row r="2701" spans="1:27">
      <c r="A2701" s="9"/>
      <c r="Z2701">
        <f>TRIM(A2701&amp;"")</f>
        <v/>
      </c>
      <c r="AA2701">
        <f>IF(Z2701="","",IF(MATCH(SUBSTITUTE(SUBSTITUTE(SUBSTITUTE(Z2701,"~","~~"),"*","~*"),"?","~?"),$Z$5:$Z$5004,0)=2697,MAX($AA$4:AA2700)+1,""))</f>
        <v/>
      </c>
    </row>
    <row r="2702" spans="1:27">
      <c r="A2702" s="9"/>
      <c r="Z2702">
        <f>TRIM(A2702&amp;"")</f>
        <v/>
      </c>
      <c r="AA2702">
        <f>IF(Z2702="","",IF(MATCH(SUBSTITUTE(SUBSTITUTE(SUBSTITUTE(Z2702,"~","~~"),"*","~*"),"?","~?"),$Z$5:$Z$5004,0)=2698,MAX($AA$4:AA2701)+1,""))</f>
        <v/>
      </c>
    </row>
    <row r="2703" spans="1:27">
      <c r="A2703" s="9"/>
      <c r="Z2703">
        <f>TRIM(A2703&amp;"")</f>
        <v/>
      </c>
      <c r="AA2703">
        <f>IF(Z2703="","",IF(MATCH(SUBSTITUTE(SUBSTITUTE(SUBSTITUTE(Z2703,"~","~~"),"*","~*"),"?","~?"),$Z$5:$Z$5004,0)=2699,MAX($AA$4:AA2702)+1,""))</f>
        <v/>
      </c>
    </row>
    <row r="2704" spans="1:27">
      <c r="A2704" s="9"/>
      <c r="Z2704">
        <f>TRIM(A2704&amp;"")</f>
        <v/>
      </c>
      <c r="AA2704">
        <f>IF(Z2704="","",IF(MATCH(SUBSTITUTE(SUBSTITUTE(SUBSTITUTE(Z2704,"~","~~"),"*","~*"),"?","~?"),$Z$5:$Z$5004,0)=2700,MAX($AA$4:AA2703)+1,""))</f>
        <v/>
      </c>
    </row>
    <row r="2705" spans="1:27">
      <c r="A2705" s="9"/>
      <c r="Z2705">
        <f>TRIM(A2705&amp;"")</f>
        <v/>
      </c>
      <c r="AA2705">
        <f>IF(Z2705="","",IF(MATCH(SUBSTITUTE(SUBSTITUTE(SUBSTITUTE(Z2705,"~","~~"),"*","~*"),"?","~?"),$Z$5:$Z$5004,0)=2701,MAX($AA$4:AA2704)+1,""))</f>
        <v/>
      </c>
    </row>
    <row r="2706" spans="1:27">
      <c r="A2706" s="9"/>
      <c r="Z2706">
        <f>TRIM(A2706&amp;"")</f>
        <v/>
      </c>
      <c r="AA2706">
        <f>IF(Z2706="","",IF(MATCH(SUBSTITUTE(SUBSTITUTE(SUBSTITUTE(Z2706,"~","~~"),"*","~*"),"?","~?"),$Z$5:$Z$5004,0)=2702,MAX($AA$4:AA2705)+1,""))</f>
        <v/>
      </c>
    </row>
    <row r="2707" spans="1:27">
      <c r="A2707" s="9"/>
      <c r="Z2707">
        <f>TRIM(A2707&amp;"")</f>
        <v/>
      </c>
      <c r="AA2707">
        <f>IF(Z2707="","",IF(MATCH(SUBSTITUTE(SUBSTITUTE(SUBSTITUTE(Z2707,"~","~~"),"*","~*"),"?","~?"),$Z$5:$Z$5004,0)=2703,MAX($AA$4:AA2706)+1,""))</f>
        <v/>
      </c>
    </row>
    <row r="2708" spans="1:27">
      <c r="A2708" s="9"/>
      <c r="Z2708">
        <f>TRIM(A2708&amp;"")</f>
        <v/>
      </c>
      <c r="AA2708">
        <f>IF(Z2708="","",IF(MATCH(SUBSTITUTE(SUBSTITUTE(SUBSTITUTE(Z2708,"~","~~"),"*","~*"),"?","~?"),$Z$5:$Z$5004,0)=2704,MAX($AA$4:AA2707)+1,""))</f>
        <v/>
      </c>
    </row>
    <row r="2709" spans="1:27">
      <c r="A2709" s="9"/>
      <c r="Z2709">
        <f>TRIM(A2709&amp;"")</f>
        <v/>
      </c>
      <c r="AA2709">
        <f>IF(Z2709="","",IF(MATCH(SUBSTITUTE(SUBSTITUTE(SUBSTITUTE(Z2709,"~","~~"),"*","~*"),"?","~?"),$Z$5:$Z$5004,0)=2705,MAX($AA$4:AA2708)+1,""))</f>
        <v/>
      </c>
    </row>
    <row r="2710" spans="1:27">
      <c r="A2710" s="9"/>
      <c r="Z2710">
        <f>TRIM(A2710&amp;"")</f>
        <v/>
      </c>
      <c r="AA2710">
        <f>IF(Z2710="","",IF(MATCH(SUBSTITUTE(SUBSTITUTE(SUBSTITUTE(Z2710,"~","~~"),"*","~*"),"?","~?"),$Z$5:$Z$5004,0)=2706,MAX($AA$4:AA2709)+1,""))</f>
        <v/>
      </c>
    </row>
    <row r="2711" spans="1:27">
      <c r="A2711" s="9"/>
      <c r="Z2711">
        <f>TRIM(A2711&amp;"")</f>
        <v/>
      </c>
      <c r="AA2711">
        <f>IF(Z2711="","",IF(MATCH(SUBSTITUTE(SUBSTITUTE(SUBSTITUTE(Z2711,"~","~~"),"*","~*"),"?","~?"),$Z$5:$Z$5004,0)=2707,MAX($AA$4:AA2710)+1,""))</f>
        <v/>
      </c>
    </row>
    <row r="2712" spans="1:27">
      <c r="A2712" s="9"/>
      <c r="Z2712">
        <f>TRIM(A2712&amp;"")</f>
        <v/>
      </c>
      <c r="AA2712">
        <f>IF(Z2712="","",IF(MATCH(SUBSTITUTE(SUBSTITUTE(SUBSTITUTE(Z2712,"~","~~"),"*","~*"),"?","~?"),$Z$5:$Z$5004,0)=2708,MAX($AA$4:AA2711)+1,""))</f>
        <v/>
      </c>
    </row>
    <row r="2713" spans="1:27">
      <c r="A2713" s="9"/>
      <c r="Z2713">
        <f>TRIM(A2713&amp;"")</f>
        <v/>
      </c>
      <c r="AA2713">
        <f>IF(Z2713="","",IF(MATCH(SUBSTITUTE(SUBSTITUTE(SUBSTITUTE(Z2713,"~","~~"),"*","~*"),"?","~?"),$Z$5:$Z$5004,0)=2709,MAX($AA$4:AA2712)+1,""))</f>
        <v/>
      </c>
    </row>
    <row r="2714" spans="1:27">
      <c r="A2714" s="9"/>
      <c r="Z2714">
        <f>TRIM(A2714&amp;"")</f>
        <v/>
      </c>
      <c r="AA2714">
        <f>IF(Z2714="","",IF(MATCH(SUBSTITUTE(SUBSTITUTE(SUBSTITUTE(Z2714,"~","~~"),"*","~*"),"?","~?"),$Z$5:$Z$5004,0)=2710,MAX($AA$4:AA2713)+1,""))</f>
        <v/>
      </c>
    </row>
    <row r="2715" spans="1:27">
      <c r="A2715" s="9"/>
      <c r="Z2715">
        <f>TRIM(A2715&amp;"")</f>
        <v/>
      </c>
      <c r="AA2715">
        <f>IF(Z2715="","",IF(MATCH(SUBSTITUTE(SUBSTITUTE(SUBSTITUTE(Z2715,"~","~~"),"*","~*"),"?","~?"),$Z$5:$Z$5004,0)=2711,MAX($AA$4:AA2714)+1,""))</f>
        <v/>
      </c>
    </row>
    <row r="2716" spans="1:27">
      <c r="A2716" s="9"/>
      <c r="Z2716">
        <f>TRIM(A2716&amp;"")</f>
        <v/>
      </c>
      <c r="AA2716">
        <f>IF(Z2716="","",IF(MATCH(SUBSTITUTE(SUBSTITUTE(SUBSTITUTE(Z2716,"~","~~"),"*","~*"),"?","~?"),$Z$5:$Z$5004,0)=2712,MAX($AA$4:AA2715)+1,""))</f>
        <v/>
      </c>
    </row>
    <row r="2717" spans="1:27">
      <c r="A2717" s="9"/>
      <c r="Z2717">
        <f>TRIM(A2717&amp;"")</f>
        <v/>
      </c>
      <c r="AA2717">
        <f>IF(Z2717="","",IF(MATCH(SUBSTITUTE(SUBSTITUTE(SUBSTITUTE(Z2717,"~","~~"),"*","~*"),"?","~?"),$Z$5:$Z$5004,0)=2713,MAX($AA$4:AA2716)+1,""))</f>
        <v/>
      </c>
    </row>
    <row r="2718" spans="1:27">
      <c r="A2718" s="9"/>
      <c r="Z2718">
        <f>TRIM(A2718&amp;"")</f>
        <v/>
      </c>
      <c r="AA2718">
        <f>IF(Z2718="","",IF(MATCH(SUBSTITUTE(SUBSTITUTE(SUBSTITUTE(Z2718,"~","~~"),"*","~*"),"?","~?"),$Z$5:$Z$5004,0)=2714,MAX($AA$4:AA2717)+1,""))</f>
        <v/>
      </c>
    </row>
    <row r="2719" spans="1:27">
      <c r="A2719" s="9"/>
      <c r="Z2719">
        <f>TRIM(A2719&amp;"")</f>
        <v/>
      </c>
      <c r="AA2719">
        <f>IF(Z2719="","",IF(MATCH(SUBSTITUTE(SUBSTITUTE(SUBSTITUTE(Z2719,"~","~~"),"*","~*"),"?","~?"),$Z$5:$Z$5004,0)=2715,MAX($AA$4:AA2718)+1,""))</f>
        <v/>
      </c>
    </row>
    <row r="2720" spans="1:27">
      <c r="A2720" s="9"/>
      <c r="Z2720">
        <f>TRIM(A2720&amp;"")</f>
        <v/>
      </c>
      <c r="AA2720">
        <f>IF(Z2720="","",IF(MATCH(SUBSTITUTE(SUBSTITUTE(SUBSTITUTE(Z2720,"~","~~"),"*","~*"),"?","~?"),$Z$5:$Z$5004,0)=2716,MAX($AA$4:AA2719)+1,""))</f>
        <v/>
      </c>
    </row>
    <row r="2721" spans="1:27">
      <c r="A2721" s="9"/>
      <c r="Z2721">
        <f>TRIM(A2721&amp;"")</f>
        <v/>
      </c>
      <c r="AA2721">
        <f>IF(Z2721="","",IF(MATCH(SUBSTITUTE(SUBSTITUTE(SUBSTITUTE(Z2721,"~","~~"),"*","~*"),"?","~?"),$Z$5:$Z$5004,0)=2717,MAX($AA$4:AA2720)+1,""))</f>
        <v/>
      </c>
    </row>
    <row r="2722" spans="1:27">
      <c r="A2722" s="9"/>
      <c r="Z2722">
        <f>TRIM(A2722&amp;"")</f>
        <v/>
      </c>
      <c r="AA2722">
        <f>IF(Z2722="","",IF(MATCH(SUBSTITUTE(SUBSTITUTE(SUBSTITUTE(Z2722,"~","~~"),"*","~*"),"?","~?"),$Z$5:$Z$5004,0)=2718,MAX($AA$4:AA2721)+1,""))</f>
        <v/>
      </c>
    </row>
    <row r="2723" spans="1:27">
      <c r="A2723" s="9"/>
      <c r="Z2723">
        <f>TRIM(A2723&amp;"")</f>
        <v/>
      </c>
      <c r="AA2723">
        <f>IF(Z2723="","",IF(MATCH(SUBSTITUTE(SUBSTITUTE(SUBSTITUTE(Z2723,"~","~~"),"*","~*"),"?","~?"),$Z$5:$Z$5004,0)=2719,MAX($AA$4:AA2722)+1,""))</f>
        <v/>
      </c>
    </row>
    <row r="2724" spans="1:27">
      <c r="A2724" s="9"/>
      <c r="Z2724">
        <f>TRIM(A2724&amp;"")</f>
        <v/>
      </c>
      <c r="AA2724">
        <f>IF(Z2724="","",IF(MATCH(SUBSTITUTE(SUBSTITUTE(SUBSTITUTE(Z2724,"~","~~"),"*","~*"),"?","~?"),$Z$5:$Z$5004,0)=2720,MAX($AA$4:AA2723)+1,""))</f>
        <v/>
      </c>
    </row>
    <row r="2725" spans="1:27">
      <c r="A2725" s="9"/>
      <c r="Z2725">
        <f>TRIM(A2725&amp;"")</f>
        <v/>
      </c>
      <c r="AA2725">
        <f>IF(Z2725="","",IF(MATCH(SUBSTITUTE(SUBSTITUTE(SUBSTITUTE(Z2725,"~","~~"),"*","~*"),"?","~?"),$Z$5:$Z$5004,0)=2721,MAX($AA$4:AA2724)+1,""))</f>
        <v/>
      </c>
    </row>
    <row r="2726" spans="1:27">
      <c r="A2726" s="9"/>
      <c r="Z2726">
        <f>TRIM(A2726&amp;"")</f>
        <v/>
      </c>
      <c r="AA2726">
        <f>IF(Z2726="","",IF(MATCH(SUBSTITUTE(SUBSTITUTE(SUBSTITUTE(Z2726,"~","~~"),"*","~*"),"?","~?"),$Z$5:$Z$5004,0)=2722,MAX($AA$4:AA2725)+1,""))</f>
        <v/>
      </c>
    </row>
    <row r="2727" spans="1:27">
      <c r="A2727" s="9"/>
      <c r="Z2727">
        <f>TRIM(A2727&amp;"")</f>
        <v/>
      </c>
      <c r="AA2727">
        <f>IF(Z2727="","",IF(MATCH(SUBSTITUTE(SUBSTITUTE(SUBSTITUTE(Z2727,"~","~~"),"*","~*"),"?","~?"),$Z$5:$Z$5004,0)=2723,MAX($AA$4:AA2726)+1,""))</f>
        <v/>
      </c>
    </row>
    <row r="2728" spans="1:27">
      <c r="A2728" s="9"/>
      <c r="Z2728">
        <f>TRIM(A2728&amp;"")</f>
        <v/>
      </c>
      <c r="AA2728">
        <f>IF(Z2728="","",IF(MATCH(SUBSTITUTE(SUBSTITUTE(SUBSTITUTE(Z2728,"~","~~"),"*","~*"),"?","~?"),$Z$5:$Z$5004,0)=2724,MAX($AA$4:AA2727)+1,""))</f>
        <v/>
      </c>
    </row>
    <row r="2729" spans="1:27">
      <c r="A2729" s="9"/>
      <c r="Z2729">
        <f>TRIM(A2729&amp;"")</f>
        <v/>
      </c>
      <c r="AA2729">
        <f>IF(Z2729="","",IF(MATCH(SUBSTITUTE(SUBSTITUTE(SUBSTITUTE(Z2729,"~","~~"),"*","~*"),"?","~?"),$Z$5:$Z$5004,0)=2725,MAX($AA$4:AA2728)+1,""))</f>
        <v/>
      </c>
    </row>
    <row r="2730" spans="1:27">
      <c r="A2730" s="9"/>
      <c r="Z2730">
        <f>TRIM(A2730&amp;"")</f>
        <v/>
      </c>
      <c r="AA2730">
        <f>IF(Z2730="","",IF(MATCH(SUBSTITUTE(SUBSTITUTE(SUBSTITUTE(Z2730,"~","~~"),"*","~*"),"?","~?"),$Z$5:$Z$5004,0)=2726,MAX($AA$4:AA2729)+1,""))</f>
        <v/>
      </c>
    </row>
    <row r="2731" spans="1:27">
      <c r="A2731" s="9"/>
      <c r="Z2731">
        <f>TRIM(A2731&amp;"")</f>
        <v/>
      </c>
      <c r="AA2731">
        <f>IF(Z2731="","",IF(MATCH(SUBSTITUTE(SUBSTITUTE(SUBSTITUTE(Z2731,"~","~~"),"*","~*"),"?","~?"),$Z$5:$Z$5004,0)=2727,MAX($AA$4:AA2730)+1,""))</f>
        <v/>
      </c>
    </row>
    <row r="2732" spans="1:27">
      <c r="A2732" s="9"/>
      <c r="Z2732">
        <f>TRIM(A2732&amp;"")</f>
        <v/>
      </c>
      <c r="AA2732">
        <f>IF(Z2732="","",IF(MATCH(SUBSTITUTE(SUBSTITUTE(SUBSTITUTE(Z2732,"~","~~"),"*","~*"),"?","~?"),$Z$5:$Z$5004,0)=2728,MAX($AA$4:AA2731)+1,""))</f>
        <v/>
      </c>
    </row>
    <row r="2733" spans="1:27">
      <c r="A2733" s="9"/>
      <c r="Z2733">
        <f>TRIM(A2733&amp;"")</f>
        <v/>
      </c>
      <c r="AA2733">
        <f>IF(Z2733="","",IF(MATCH(SUBSTITUTE(SUBSTITUTE(SUBSTITUTE(Z2733,"~","~~"),"*","~*"),"?","~?"),$Z$5:$Z$5004,0)=2729,MAX($AA$4:AA2732)+1,""))</f>
        <v/>
      </c>
    </row>
    <row r="2734" spans="1:27">
      <c r="A2734" s="9"/>
      <c r="Z2734">
        <f>TRIM(A2734&amp;"")</f>
        <v/>
      </c>
      <c r="AA2734">
        <f>IF(Z2734="","",IF(MATCH(SUBSTITUTE(SUBSTITUTE(SUBSTITUTE(Z2734,"~","~~"),"*","~*"),"?","~?"),$Z$5:$Z$5004,0)=2730,MAX($AA$4:AA2733)+1,""))</f>
        <v/>
      </c>
    </row>
    <row r="2735" spans="1:27">
      <c r="A2735" s="9"/>
      <c r="Z2735">
        <f>TRIM(A2735&amp;"")</f>
        <v/>
      </c>
      <c r="AA2735">
        <f>IF(Z2735="","",IF(MATCH(SUBSTITUTE(SUBSTITUTE(SUBSTITUTE(Z2735,"~","~~"),"*","~*"),"?","~?"),$Z$5:$Z$5004,0)=2731,MAX($AA$4:AA2734)+1,""))</f>
        <v/>
      </c>
    </row>
    <row r="2736" spans="1:27">
      <c r="A2736" s="9"/>
      <c r="Z2736">
        <f>TRIM(A2736&amp;"")</f>
        <v/>
      </c>
      <c r="AA2736">
        <f>IF(Z2736="","",IF(MATCH(SUBSTITUTE(SUBSTITUTE(SUBSTITUTE(Z2736,"~","~~"),"*","~*"),"?","~?"),$Z$5:$Z$5004,0)=2732,MAX($AA$4:AA2735)+1,""))</f>
        <v/>
      </c>
    </row>
    <row r="2737" spans="1:27">
      <c r="A2737" s="9"/>
      <c r="Z2737">
        <f>TRIM(A2737&amp;"")</f>
        <v/>
      </c>
      <c r="AA2737">
        <f>IF(Z2737="","",IF(MATCH(SUBSTITUTE(SUBSTITUTE(SUBSTITUTE(Z2737,"~","~~"),"*","~*"),"?","~?"),$Z$5:$Z$5004,0)=2733,MAX($AA$4:AA2736)+1,""))</f>
        <v/>
      </c>
    </row>
    <row r="2738" spans="1:27">
      <c r="A2738" s="9"/>
      <c r="Z2738">
        <f>TRIM(A2738&amp;"")</f>
        <v/>
      </c>
      <c r="AA2738">
        <f>IF(Z2738="","",IF(MATCH(SUBSTITUTE(SUBSTITUTE(SUBSTITUTE(Z2738,"~","~~"),"*","~*"),"?","~?"),$Z$5:$Z$5004,0)=2734,MAX($AA$4:AA2737)+1,""))</f>
        <v/>
      </c>
    </row>
    <row r="2739" spans="1:27">
      <c r="A2739" s="9"/>
      <c r="Z2739">
        <f>TRIM(A2739&amp;"")</f>
        <v/>
      </c>
      <c r="AA2739">
        <f>IF(Z2739="","",IF(MATCH(SUBSTITUTE(SUBSTITUTE(SUBSTITUTE(Z2739,"~","~~"),"*","~*"),"?","~?"),$Z$5:$Z$5004,0)=2735,MAX($AA$4:AA2738)+1,""))</f>
        <v/>
      </c>
    </row>
    <row r="2740" spans="1:27">
      <c r="A2740" s="9"/>
      <c r="Z2740">
        <f>TRIM(A2740&amp;"")</f>
        <v/>
      </c>
      <c r="AA2740">
        <f>IF(Z2740="","",IF(MATCH(SUBSTITUTE(SUBSTITUTE(SUBSTITUTE(Z2740,"~","~~"),"*","~*"),"?","~?"),$Z$5:$Z$5004,0)=2736,MAX($AA$4:AA2739)+1,""))</f>
        <v/>
      </c>
    </row>
    <row r="2741" spans="1:27">
      <c r="A2741" s="9"/>
      <c r="Z2741">
        <f>TRIM(A2741&amp;"")</f>
        <v/>
      </c>
      <c r="AA2741">
        <f>IF(Z2741="","",IF(MATCH(SUBSTITUTE(SUBSTITUTE(SUBSTITUTE(Z2741,"~","~~"),"*","~*"),"?","~?"),$Z$5:$Z$5004,0)=2737,MAX($AA$4:AA2740)+1,""))</f>
        <v/>
      </c>
    </row>
    <row r="2742" spans="1:27">
      <c r="A2742" s="9"/>
      <c r="Z2742">
        <f>TRIM(A2742&amp;"")</f>
        <v/>
      </c>
      <c r="AA2742">
        <f>IF(Z2742="","",IF(MATCH(SUBSTITUTE(SUBSTITUTE(SUBSTITUTE(Z2742,"~","~~"),"*","~*"),"?","~?"),$Z$5:$Z$5004,0)=2738,MAX($AA$4:AA2741)+1,""))</f>
        <v/>
      </c>
    </row>
    <row r="2743" spans="1:27">
      <c r="A2743" s="9"/>
      <c r="Z2743">
        <f>TRIM(A2743&amp;"")</f>
        <v/>
      </c>
      <c r="AA2743">
        <f>IF(Z2743="","",IF(MATCH(SUBSTITUTE(SUBSTITUTE(SUBSTITUTE(Z2743,"~","~~"),"*","~*"),"?","~?"),$Z$5:$Z$5004,0)=2739,MAX($AA$4:AA2742)+1,""))</f>
        <v/>
      </c>
    </row>
    <row r="2744" spans="1:27">
      <c r="A2744" s="9"/>
      <c r="Z2744">
        <f>TRIM(A2744&amp;"")</f>
        <v/>
      </c>
      <c r="AA2744">
        <f>IF(Z2744="","",IF(MATCH(SUBSTITUTE(SUBSTITUTE(SUBSTITUTE(Z2744,"~","~~"),"*","~*"),"?","~?"),$Z$5:$Z$5004,0)=2740,MAX($AA$4:AA2743)+1,""))</f>
        <v/>
      </c>
    </row>
    <row r="2745" spans="1:27">
      <c r="A2745" s="9"/>
      <c r="Z2745">
        <f>TRIM(A2745&amp;"")</f>
        <v/>
      </c>
      <c r="AA2745">
        <f>IF(Z2745="","",IF(MATCH(SUBSTITUTE(SUBSTITUTE(SUBSTITUTE(Z2745,"~","~~"),"*","~*"),"?","~?"),$Z$5:$Z$5004,0)=2741,MAX($AA$4:AA2744)+1,""))</f>
        <v/>
      </c>
    </row>
    <row r="2746" spans="1:27">
      <c r="A2746" s="9"/>
      <c r="Z2746">
        <f>TRIM(A2746&amp;"")</f>
        <v/>
      </c>
      <c r="AA2746">
        <f>IF(Z2746="","",IF(MATCH(SUBSTITUTE(SUBSTITUTE(SUBSTITUTE(Z2746,"~","~~"),"*","~*"),"?","~?"),$Z$5:$Z$5004,0)=2742,MAX($AA$4:AA2745)+1,""))</f>
        <v/>
      </c>
    </row>
    <row r="2747" spans="1:27">
      <c r="A2747" s="9"/>
      <c r="Z2747">
        <f>TRIM(A2747&amp;"")</f>
        <v/>
      </c>
      <c r="AA2747">
        <f>IF(Z2747="","",IF(MATCH(SUBSTITUTE(SUBSTITUTE(SUBSTITUTE(Z2747,"~","~~"),"*","~*"),"?","~?"),$Z$5:$Z$5004,0)=2743,MAX($AA$4:AA2746)+1,""))</f>
        <v/>
      </c>
    </row>
    <row r="2748" spans="1:27">
      <c r="A2748" s="9"/>
      <c r="Z2748">
        <f>TRIM(A2748&amp;"")</f>
        <v/>
      </c>
      <c r="AA2748">
        <f>IF(Z2748="","",IF(MATCH(SUBSTITUTE(SUBSTITUTE(SUBSTITUTE(Z2748,"~","~~"),"*","~*"),"?","~?"),$Z$5:$Z$5004,0)=2744,MAX($AA$4:AA2747)+1,""))</f>
        <v/>
      </c>
    </row>
    <row r="2749" spans="1:27">
      <c r="A2749" s="9"/>
      <c r="Z2749">
        <f>TRIM(A2749&amp;"")</f>
        <v/>
      </c>
      <c r="AA2749">
        <f>IF(Z2749="","",IF(MATCH(SUBSTITUTE(SUBSTITUTE(SUBSTITUTE(Z2749,"~","~~"),"*","~*"),"?","~?"),$Z$5:$Z$5004,0)=2745,MAX($AA$4:AA2748)+1,""))</f>
        <v/>
      </c>
    </row>
    <row r="2750" spans="1:27">
      <c r="A2750" s="9"/>
      <c r="Z2750">
        <f>TRIM(A2750&amp;"")</f>
        <v/>
      </c>
      <c r="AA2750">
        <f>IF(Z2750="","",IF(MATCH(SUBSTITUTE(SUBSTITUTE(SUBSTITUTE(Z2750,"~","~~"),"*","~*"),"?","~?"),$Z$5:$Z$5004,0)=2746,MAX($AA$4:AA2749)+1,""))</f>
        <v/>
      </c>
    </row>
    <row r="2751" spans="1:27">
      <c r="A2751" s="9"/>
      <c r="Z2751">
        <f>TRIM(A2751&amp;"")</f>
        <v/>
      </c>
      <c r="AA2751">
        <f>IF(Z2751="","",IF(MATCH(SUBSTITUTE(SUBSTITUTE(SUBSTITUTE(Z2751,"~","~~"),"*","~*"),"?","~?"),$Z$5:$Z$5004,0)=2747,MAX($AA$4:AA2750)+1,""))</f>
        <v/>
      </c>
    </row>
    <row r="2752" spans="1:27">
      <c r="A2752" s="9"/>
      <c r="Z2752">
        <f>TRIM(A2752&amp;"")</f>
        <v/>
      </c>
      <c r="AA2752">
        <f>IF(Z2752="","",IF(MATCH(SUBSTITUTE(SUBSTITUTE(SUBSTITUTE(Z2752,"~","~~"),"*","~*"),"?","~?"),$Z$5:$Z$5004,0)=2748,MAX($AA$4:AA2751)+1,""))</f>
        <v/>
      </c>
    </row>
    <row r="2753" spans="1:27">
      <c r="A2753" s="9"/>
      <c r="Z2753">
        <f>TRIM(A2753&amp;"")</f>
        <v/>
      </c>
      <c r="AA2753">
        <f>IF(Z2753="","",IF(MATCH(SUBSTITUTE(SUBSTITUTE(SUBSTITUTE(Z2753,"~","~~"),"*","~*"),"?","~?"),$Z$5:$Z$5004,0)=2749,MAX($AA$4:AA2752)+1,""))</f>
        <v/>
      </c>
    </row>
    <row r="2754" spans="1:27">
      <c r="A2754" s="9"/>
      <c r="Z2754">
        <f>TRIM(A2754&amp;"")</f>
        <v/>
      </c>
      <c r="AA2754">
        <f>IF(Z2754="","",IF(MATCH(SUBSTITUTE(SUBSTITUTE(SUBSTITUTE(Z2754,"~","~~"),"*","~*"),"?","~?"),$Z$5:$Z$5004,0)=2750,MAX($AA$4:AA2753)+1,""))</f>
        <v/>
      </c>
    </row>
    <row r="2755" spans="1:27">
      <c r="A2755" s="9"/>
      <c r="Z2755">
        <f>TRIM(A2755&amp;"")</f>
        <v/>
      </c>
      <c r="AA2755">
        <f>IF(Z2755="","",IF(MATCH(SUBSTITUTE(SUBSTITUTE(SUBSTITUTE(Z2755,"~","~~"),"*","~*"),"?","~?"),$Z$5:$Z$5004,0)=2751,MAX($AA$4:AA2754)+1,""))</f>
        <v/>
      </c>
    </row>
    <row r="2756" spans="1:27">
      <c r="A2756" s="9"/>
      <c r="Z2756">
        <f>TRIM(A2756&amp;"")</f>
        <v/>
      </c>
      <c r="AA2756">
        <f>IF(Z2756="","",IF(MATCH(SUBSTITUTE(SUBSTITUTE(SUBSTITUTE(Z2756,"~","~~"),"*","~*"),"?","~?"),$Z$5:$Z$5004,0)=2752,MAX($AA$4:AA2755)+1,""))</f>
        <v/>
      </c>
    </row>
    <row r="2757" spans="1:27">
      <c r="A2757" s="9"/>
      <c r="Z2757">
        <f>TRIM(A2757&amp;"")</f>
        <v/>
      </c>
      <c r="AA2757">
        <f>IF(Z2757="","",IF(MATCH(SUBSTITUTE(SUBSTITUTE(SUBSTITUTE(Z2757,"~","~~"),"*","~*"),"?","~?"),$Z$5:$Z$5004,0)=2753,MAX($AA$4:AA2756)+1,""))</f>
        <v/>
      </c>
    </row>
    <row r="2758" spans="1:27">
      <c r="A2758" s="9"/>
      <c r="Z2758">
        <f>TRIM(A2758&amp;"")</f>
        <v/>
      </c>
      <c r="AA2758">
        <f>IF(Z2758="","",IF(MATCH(SUBSTITUTE(SUBSTITUTE(SUBSTITUTE(Z2758,"~","~~"),"*","~*"),"?","~?"),$Z$5:$Z$5004,0)=2754,MAX($AA$4:AA2757)+1,""))</f>
        <v/>
      </c>
    </row>
    <row r="2759" spans="1:27">
      <c r="A2759" s="9"/>
      <c r="Z2759">
        <f>TRIM(A2759&amp;"")</f>
        <v/>
      </c>
      <c r="AA2759">
        <f>IF(Z2759="","",IF(MATCH(SUBSTITUTE(SUBSTITUTE(SUBSTITUTE(Z2759,"~","~~"),"*","~*"),"?","~?"),$Z$5:$Z$5004,0)=2755,MAX($AA$4:AA2758)+1,""))</f>
        <v/>
      </c>
    </row>
    <row r="2760" spans="1:27">
      <c r="A2760" s="9"/>
      <c r="Z2760">
        <f>TRIM(A2760&amp;"")</f>
        <v/>
      </c>
      <c r="AA2760">
        <f>IF(Z2760="","",IF(MATCH(SUBSTITUTE(SUBSTITUTE(SUBSTITUTE(Z2760,"~","~~"),"*","~*"),"?","~?"),$Z$5:$Z$5004,0)=2756,MAX($AA$4:AA2759)+1,""))</f>
        <v/>
      </c>
    </row>
    <row r="2761" spans="1:27">
      <c r="A2761" s="9"/>
      <c r="Z2761">
        <f>TRIM(A2761&amp;"")</f>
        <v/>
      </c>
      <c r="AA2761">
        <f>IF(Z2761="","",IF(MATCH(SUBSTITUTE(SUBSTITUTE(SUBSTITUTE(Z2761,"~","~~"),"*","~*"),"?","~?"),$Z$5:$Z$5004,0)=2757,MAX($AA$4:AA2760)+1,""))</f>
        <v/>
      </c>
    </row>
    <row r="2762" spans="1:27">
      <c r="A2762" s="9"/>
      <c r="Z2762">
        <f>TRIM(A2762&amp;"")</f>
        <v/>
      </c>
      <c r="AA2762">
        <f>IF(Z2762="","",IF(MATCH(SUBSTITUTE(SUBSTITUTE(SUBSTITUTE(Z2762,"~","~~"),"*","~*"),"?","~?"),$Z$5:$Z$5004,0)=2758,MAX($AA$4:AA2761)+1,""))</f>
        <v/>
      </c>
    </row>
    <row r="2763" spans="1:27">
      <c r="A2763" s="9"/>
      <c r="Z2763">
        <f>TRIM(A2763&amp;"")</f>
        <v/>
      </c>
      <c r="AA2763">
        <f>IF(Z2763="","",IF(MATCH(SUBSTITUTE(SUBSTITUTE(SUBSTITUTE(Z2763,"~","~~"),"*","~*"),"?","~?"),$Z$5:$Z$5004,0)=2759,MAX($AA$4:AA2762)+1,""))</f>
        <v/>
      </c>
    </row>
    <row r="2764" spans="1:27">
      <c r="A2764" s="9"/>
      <c r="Z2764">
        <f>TRIM(A2764&amp;"")</f>
        <v/>
      </c>
      <c r="AA2764">
        <f>IF(Z2764="","",IF(MATCH(SUBSTITUTE(SUBSTITUTE(SUBSTITUTE(Z2764,"~","~~"),"*","~*"),"?","~?"),$Z$5:$Z$5004,0)=2760,MAX($AA$4:AA2763)+1,""))</f>
        <v/>
      </c>
    </row>
    <row r="2765" spans="1:27">
      <c r="A2765" s="9"/>
      <c r="Z2765">
        <f>TRIM(A2765&amp;"")</f>
        <v/>
      </c>
      <c r="AA2765">
        <f>IF(Z2765="","",IF(MATCH(SUBSTITUTE(SUBSTITUTE(SUBSTITUTE(Z2765,"~","~~"),"*","~*"),"?","~?"),$Z$5:$Z$5004,0)=2761,MAX($AA$4:AA2764)+1,""))</f>
        <v/>
      </c>
    </row>
    <row r="2766" spans="1:27">
      <c r="A2766" s="9"/>
      <c r="Z2766">
        <f>TRIM(A2766&amp;"")</f>
        <v/>
      </c>
      <c r="AA2766">
        <f>IF(Z2766="","",IF(MATCH(SUBSTITUTE(SUBSTITUTE(SUBSTITUTE(Z2766,"~","~~"),"*","~*"),"?","~?"),$Z$5:$Z$5004,0)=2762,MAX($AA$4:AA2765)+1,""))</f>
        <v/>
      </c>
    </row>
    <row r="2767" spans="1:27">
      <c r="A2767" s="9"/>
      <c r="Z2767">
        <f>TRIM(A2767&amp;"")</f>
        <v/>
      </c>
      <c r="AA2767">
        <f>IF(Z2767="","",IF(MATCH(SUBSTITUTE(SUBSTITUTE(SUBSTITUTE(Z2767,"~","~~"),"*","~*"),"?","~?"),$Z$5:$Z$5004,0)=2763,MAX($AA$4:AA2766)+1,""))</f>
        <v/>
      </c>
    </row>
    <row r="2768" spans="1:27">
      <c r="A2768" s="9"/>
      <c r="Z2768">
        <f>TRIM(A2768&amp;"")</f>
        <v/>
      </c>
      <c r="AA2768">
        <f>IF(Z2768="","",IF(MATCH(SUBSTITUTE(SUBSTITUTE(SUBSTITUTE(Z2768,"~","~~"),"*","~*"),"?","~?"),$Z$5:$Z$5004,0)=2764,MAX($AA$4:AA2767)+1,""))</f>
        <v/>
      </c>
    </row>
    <row r="2769" spans="1:27">
      <c r="A2769" s="9"/>
      <c r="Z2769">
        <f>TRIM(A2769&amp;"")</f>
        <v/>
      </c>
      <c r="AA2769">
        <f>IF(Z2769="","",IF(MATCH(SUBSTITUTE(SUBSTITUTE(SUBSTITUTE(Z2769,"~","~~"),"*","~*"),"?","~?"),$Z$5:$Z$5004,0)=2765,MAX($AA$4:AA2768)+1,""))</f>
        <v/>
      </c>
    </row>
    <row r="2770" spans="1:27">
      <c r="A2770" s="9"/>
      <c r="Z2770">
        <f>TRIM(A2770&amp;"")</f>
        <v/>
      </c>
      <c r="AA2770">
        <f>IF(Z2770="","",IF(MATCH(SUBSTITUTE(SUBSTITUTE(SUBSTITUTE(Z2770,"~","~~"),"*","~*"),"?","~?"),$Z$5:$Z$5004,0)=2766,MAX($AA$4:AA2769)+1,""))</f>
        <v/>
      </c>
    </row>
    <row r="2771" spans="1:27">
      <c r="A2771" s="9"/>
      <c r="Z2771">
        <f>TRIM(A2771&amp;"")</f>
        <v/>
      </c>
      <c r="AA2771">
        <f>IF(Z2771="","",IF(MATCH(SUBSTITUTE(SUBSTITUTE(SUBSTITUTE(Z2771,"~","~~"),"*","~*"),"?","~?"),$Z$5:$Z$5004,0)=2767,MAX($AA$4:AA2770)+1,""))</f>
        <v/>
      </c>
    </row>
    <row r="2772" spans="1:27">
      <c r="A2772" s="9"/>
      <c r="Z2772">
        <f>TRIM(A2772&amp;"")</f>
        <v/>
      </c>
      <c r="AA2772">
        <f>IF(Z2772="","",IF(MATCH(SUBSTITUTE(SUBSTITUTE(SUBSTITUTE(Z2772,"~","~~"),"*","~*"),"?","~?"),$Z$5:$Z$5004,0)=2768,MAX($AA$4:AA2771)+1,""))</f>
        <v/>
      </c>
    </row>
    <row r="2773" spans="1:27">
      <c r="A2773" s="9"/>
      <c r="Z2773">
        <f>TRIM(A2773&amp;"")</f>
        <v/>
      </c>
      <c r="AA2773">
        <f>IF(Z2773="","",IF(MATCH(SUBSTITUTE(SUBSTITUTE(SUBSTITUTE(Z2773,"~","~~"),"*","~*"),"?","~?"),$Z$5:$Z$5004,0)=2769,MAX($AA$4:AA2772)+1,""))</f>
        <v/>
      </c>
    </row>
    <row r="2774" spans="1:27">
      <c r="A2774" s="9"/>
      <c r="Z2774">
        <f>TRIM(A2774&amp;"")</f>
        <v/>
      </c>
      <c r="AA2774">
        <f>IF(Z2774="","",IF(MATCH(SUBSTITUTE(SUBSTITUTE(SUBSTITUTE(Z2774,"~","~~"),"*","~*"),"?","~?"),$Z$5:$Z$5004,0)=2770,MAX($AA$4:AA2773)+1,""))</f>
        <v/>
      </c>
    </row>
    <row r="2775" spans="1:27">
      <c r="A2775" s="9"/>
      <c r="Z2775">
        <f>TRIM(A2775&amp;"")</f>
        <v/>
      </c>
      <c r="AA2775">
        <f>IF(Z2775="","",IF(MATCH(SUBSTITUTE(SUBSTITUTE(SUBSTITUTE(Z2775,"~","~~"),"*","~*"),"?","~?"),$Z$5:$Z$5004,0)=2771,MAX($AA$4:AA2774)+1,""))</f>
        <v/>
      </c>
    </row>
    <row r="2776" spans="1:27">
      <c r="A2776" s="9"/>
      <c r="Z2776">
        <f>TRIM(A2776&amp;"")</f>
        <v/>
      </c>
      <c r="AA2776">
        <f>IF(Z2776="","",IF(MATCH(SUBSTITUTE(SUBSTITUTE(SUBSTITUTE(Z2776,"~","~~"),"*","~*"),"?","~?"),$Z$5:$Z$5004,0)=2772,MAX($AA$4:AA2775)+1,""))</f>
        <v/>
      </c>
    </row>
    <row r="2777" spans="1:27">
      <c r="A2777" s="9"/>
      <c r="Z2777">
        <f>TRIM(A2777&amp;"")</f>
        <v/>
      </c>
      <c r="AA2777">
        <f>IF(Z2777="","",IF(MATCH(SUBSTITUTE(SUBSTITUTE(SUBSTITUTE(Z2777,"~","~~"),"*","~*"),"?","~?"),$Z$5:$Z$5004,0)=2773,MAX($AA$4:AA2776)+1,""))</f>
        <v/>
      </c>
    </row>
    <row r="2778" spans="1:27">
      <c r="A2778" s="9"/>
      <c r="Z2778">
        <f>TRIM(A2778&amp;"")</f>
        <v/>
      </c>
      <c r="AA2778">
        <f>IF(Z2778="","",IF(MATCH(SUBSTITUTE(SUBSTITUTE(SUBSTITUTE(Z2778,"~","~~"),"*","~*"),"?","~?"),$Z$5:$Z$5004,0)=2774,MAX($AA$4:AA2777)+1,""))</f>
        <v/>
      </c>
    </row>
    <row r="2779" spans="1:27">
      <c r="A2779" s="9"/>
      <c r="Z2779">
        <f>TRIM(A2779&amp;"")</f>
        <v/>
      </c>
      <c r="AA2779">
        <f>IF(Z2779="","",IF(MATCH(SUBSTITUTE(SUBSTITUTE(SUBSTITUTE(Z2779,"~","~~"),"*","~*"),"?","~?"),$Z$5:$Z$5004,0)=2775,MAX($AA$4:AA2778)+1,""))</f>
        <v/>
      </c>
    </row>
    <row r="2780" spans="1:27">
      <c r="A2780" s="9"/>
      <c r="Z2780">
        <f>TRIM(A2780&amp;"")</f>
        <v/>
      </c>
      <c r="AA2780">
        <f>IF(Z2780="","",IF(MATCH(SUBSTITUTE(SUBSTITUTE(SUBSTITUTE(Z2780,"~","~~"),"*","~*"),"?","~?"),$Z$5:$Z$5004,0)=2776,MAX($AA$4:AA2779)+1,""))</f>
        <v/>
      </c>
    </row>
    <row r="2781" spans="1:27">
      <c r="A2781" s="9"/>
      <c r="Z2781">
        <f>TRIM(A2781&amp;"")</f>
        <v/>
      </c>
      <c r="AA2781">
        <f>IF(Z2781="","",IF(MATCH(SUBSTITUTE(SUBSTITUTE(SUBSTITUTE(Z2781,"~","~~"),"*","~*"),"?","~?"),$Z$5:$Z$5004,0)=2777,MAX($AA$4:AA2780)+1,""))</f>
        <v/>
      </c>
    </row>
    <row r="2782" spans="1:27">
      <c r="A2782" s="9"/>
      <c r="Z2782">
        <f>TRIM(A2782&amp;"")</f>
        <v/>
      </c>
      <c r="AA2782">
        <f>IF(Z2782="","",IF(MATCH(SUBSTITUTE(SUBSTITUTE(SUBSTITUTE(Z2782,"~","~~"),"*","~*"),"?","~?"),$Z$5:$Z$5004,0)=2778,MAX($AA$4:AA2781)+1,""))</f>
        <v/>
      </c>
    </row>
    <row r="2783" spans="1:27">
      <c r="A2783" s="9"/>
      <c r="Z2783">
        <f>TRIM(A2783&amp;"")</f>
        <v/>
      </c>
      <c r="AA2783">
        <f>IF(Z2783="","",IF(MATCH(SUBSTITUTE(SUBSTITUTE(SUBSTITUTE(Z2783,"~","~~"),"*","~*"),"?","~?"),$Z$5:$Z$5004,0)=2779,MAX($AA$4:AA2782)+1,""))</f>
        <v/>
      </c>
    </row>
    <row r="2784" spans="1:27">
      <c r="A2784" s="9"/>
      <c r="Z2784">
        <f>TRIM(A2784&amp;"")</f>
        <v/>
      </c>
      <c r="AA2784">
        <f>IF(Z2784="","",IF(MATCH(SUBSTITUTE(SUBSTITUTE(SUBSTITUTE(Z2784,"~","~~"),"*","~*"),"?","~?"),$Z$5:$Z$5004,0)=2780,MAX($AA$4:AA2783)+1,""))</f>
        <v/>
      </c>
    </row>
    <row r="2785" spans="1:27">
      <c r="A2785" s="9"/>
      <c r="Z2785">
        <f>TRIM(A2785&amp;"")</f>
        <v/>
      </c>
      <c r="AA2785">
        <f>IF(Z2785="","",IF(MATCH(SUBSTITUTE(SUBSTITUTE(SUBSTITUTE(Z2785,"~","~~"),"*","~*"),"?","~?"),$Z$5:$Z$5004,0)=2781,MAX($AA$4:AA2784)+1,""))</f>
        <v/>
      </c>
    </row>
    <row r="2786" spans="1:27">
      <c r="A2786" s="9"/>
      <c r="Z2786">
        <f>TRIM(A2786&amp;"")</f>
        <v/>
      </c>
      <c r="AA2786">
        <f>IF(Z2786="","",IF(MATCH(SUBSTITUTE(SUBSTITUTE(SUBSTITUTE(Z2786,"~","~~"),"*","~*"),"?","~?"),$Z$5:$Z$5004,0)=2782,MAX($AA$4:AA2785)+1,""))</f>
        <v/>
      </c>
    </row>
    <row r="2787" spans="1:27">
      <c r="A2787" s="9"/>
      <c r="Z2787">
        <f>TRIM(A2787&amp;"")</f>
        <v/>
      </c>
      <c r="AA2787">
        <f>IF(Z2787="","",IF(MATCH(SUBSTITUTE(SUBSTITUTE(SUBSTITUTE(Z2787,"~","~~"),"*","~*"),"?","~?"),$Z$5:$Z$5004,0)=2783,MAX($AA$4:AA2786)+1,""))</f>
        <v/>
      </c>
    </row>
    <row r="2788" spans="1:27">
      <c r="A2788" s="9"/>
      <c r="Z2788">
        <f>TRIM(A2788&amp;"")</f>
        <v/>
      </c>
      <c r="AA2788">
        <f>IF(Z2788="","",IF(MATCH(SUBSTITUTE(SUBSTITUTE(SUBSTITUTE(Z2788,"~","~~"),"*","~*"),"?","~?"),$Z$5:$Z$5004,0)=2784,MAX($AA$4:AA2787)+1,""))</f>
        <v/>
      </c>
    </row>
    <row r="2789" spans="1:27">
      <c r="A2789" s="9"/>
      <c r="Z2789">
        <f>TRIM(A2789&amp;"")</f>
        <v/>
      </c>
      <c r="AA2789">
        <f>IF(Z2789="","",IF(MATCH(SUBSTITUTE(SUBSTITUTE(SUBSTITUTE(Z2789,"~","~~"),"*","~*"),"?","~?"),$Z$5:$Z$5004,0)=2785,MAX($AA$4:AA2788)+1,""))</f>
        <v/>
      </c>
    </row>
    <row r="2790" spans="1:27">
      <c r="A2790" s="9"/>
      <c r="Z2790">
        <f>TRIM(A2790&amp;"")</f>
        <v/>
      </c>
      <c r="AA2790">
        <f>IF(Z2790="","",IF(MATCH(SUBSTITUTE(SUBSTITUTE(SUBSTITUTE(Z2790,"~","~~"),"*","~*"),"?","~?"),$Z$5:$Z$5004,0)=2786,MAX($AA$4:AA2789)+1,""))</f>
        <v/>
      </c>
    </row>
    <row r="2791" spans="1:27">
      <c r="A2791" s="9"/>
      <c r="Z2791">
        <f>TRIM(A2791&amp;"")</f>
        <v/>
      </c>
      <c r="AA2791">
        <f>IF(Z2791="","",IF(MATCH(SUBSTITUTE(SUBSTITUTE(SUBSTITUTE(Z2791,"~","~~"),"*","~*"),"?","~?"),$Z$5:$Z$5004,0)=2787,MAX($AA$4:AA2790)+1,""))</f>
        <v/>
      </c>
    </row>
    <row r="2792" spans="1:27">
      <c r="A2792" s="9"/>
      <c r="Z2792">
        <f>TRIM(A2792&amp;"")</f>
        <v/>
      </c>
      <c r="AA2792">
        <f>IF(Z2792="","",IF(MATCH(SUBSTITUTE(SUBSTITUTE(SUBSTITUTE(Z2792,"~","~~"),"*","~*"),"?","~?"),$Z$5:$Z$5004,0)=2788,MAX($AA$4:AA2791)+1,""))</f>
        <v/>
      </c>
    </row>
    <row r="2793" spans="1:27">
      <c r="A2793" s="9"/>
      <c r="Z2793">
        <f>TRIM(A2793&amp;"")</f>
        <v/>
      </c>
      <c r="AA2793">
        <f>IF(Z2793="","",IF(MATCH(SUBSTITUTE(SUBSTITUTE(SUBSTITUTE(Z2793,"~","~~"),"*","~*"),"?","~?"),$Z$5:$Z$5004,0)=2789,MAX($AA$4:AA2792)+1,""))</f>
        <v/>
      </c>
    </row>
    <row r="2794" spans="1:27">
      <c r="A2794" s="9"/>
      <c r="Z2794">
        <f>TRIM(A2794&amp;"")</f>
        <v/>
      </c>
      <c r="AA2794">
        <f>IF(Z2794="","",IF(MATCH(SUBSTITUTE(SUBSTITUTE(SUBSTITUTE(Z2794,"~","~~"),"*","~*"),"?","~?"),$Z$5:$Z$5004,0)=2790,MAX($AA$4:AA2793)+1,""))</f>
        <v/>
      </c>
    </row>
    <row r="2795" spans="1:27">
      <c r="A2795" s="9"/>
      <c r="Z2795">
        <f>TRIM(A2795&amp;"")</f>
        <v/>
      </c>
      <c r="AA2795">
        <f>IF(Z2795="","",IF(MATCH(SUBSTITUTE(SUBSTITUTE(SUBSTITUTE(Z2795,"~","~~"),"*","~*"),"?","~?"),$Z$5:$Z$5004,0)=2791,MAX($AA$4:AA2794)+1,""))</f>
        <v/>
      </c>
    </row>
    <row r="2796" spans="1:27">
      <c r="A2796" s="9"/>
      <c r="Z2796">
        <f>TRIM(A2796&amp;"")</f>
        <v/>
      </c>
      <c r="AA2796">
        <f>IF(Z2796="","",IF(MATCH(SUBSTITUTE(SUBSTITUTE(SUBSTITUTE(Z2796,"~","~~"),"*","~*"),"?","~?"),$Z$5:$Z$5004,0)=2792,MAX($AA$4:AA2795)+1,""))</f>
        <v/>
      </c>
    </row>
    <row r="2797" spans="1:27">
      <c r="A2797" s="9"/>
      <c r="Z2797">
        <f>TRIM(A2797&amp;"")</f>
        <v/>
      </c>
      <c r="AA2797">
        <f>IF(Z2797="","",IF(MATCH(SUBSTITUTE(SUBSTITUTE(SUBSTITUTE(Z2797,"~","~~"),"*","~*"),"?","~?"),$Z$5:$Z$5004,0)=2793,MAX($AA$4:AA2796)+1,""))</f>
        <v/>
      </c>
    </row>
    <row r="2798" spans="1:27">
      <c r="A2798" s="9"/>
      <c r="Z2798">
        <f>TRIM(A2798&amp;"")</f>
        <v/>
      </c>
      <c r="AA2798">
        <f>IF(Z2798="","",IF(MATCH(SUBSTITUTE(SUBSTITUTE(SUBSTITUTE(Z2798,"~","~~"),"*","~*"),"?","~?"),$Z$5:$Z$5004,0)=2794,MAX($AA$4:AA2797)+1,""))</f>
        <v/>
      </c>
    </row>
    <row r="2799" spans="1:27">
      <c r="A2799" s="9"/>
      <c r="Z2799">
        <f>TRIM(A2799&amp;"")</f>
        <v/>
      </c>
      <c r="AA2799">
        <f>IF(Z2799="","",IF(MATCH(SUBSTITUTE(SUBSTITUTE(SUBSTITUTE(Z2799,"~","~~"),"*","~*"),"?","~?"),$Z$5:$Z$5004,0)=2795,MAX($AA$4:AA2798)+1,""))</f>
        <v/>
      </c>
    </row>
    <row r="2800" spans="1:27">
      <c r="A2800" s="9"/>
      <c r="Z2800">
        <f>TRIM(A2800&amp;"")</f>
        <v/>
      </c>
      <c r="AA2800">
        <f>IF(Z2800="","",IF(MATCH(SUBSTITUTE(SUBSTITUTE(SUBSTITUTE(Z2800,"~","~~"),"*","~*"),"?","~?"),$Z$5:$Z$5004,0)=2796,MAX($AA$4:AA2799)+1,""))</f>
        <v/>
      </c>
    </row>
    <row r="2801" spans="1:27">
      <c r="A2801" s="9"/>
      <c r="Z2801">
        <f>TRIM(A2801&amp;"")</f>
        <v/>
      </c>
      <c r="AA2801">
        <f>IF(Z2801="","",IF(MATCH(SUBSTITUTE(SUBSTITUTE(SUBSTITUTE(Z2801,"~","~~"),"*","~*"),"?","~?"),$Z$5:$Z$5004,0)=2797,MAX($AA$4:AA2800)+1,""))</f>
        <v/>
      </c>
    </row>
    <row r="2802" spans="1:27">
      <c r="A2802" s="9"/>
      <c r="Z2802">
        <f>TRIM(A2802&amp;"")</f>
        <v/>
      </c>
      <c r="AA2802">
        <f>IF(Z2802="","",IF(MATCH(SUBSTITUTE(SUBSTITUTE(SUBSTITUTE(Z2802,"~","~~"),"*","~*"),"?","~?"),$Z$5:$Z$5004,0)=2798,MAX($AA$4:AA2801)+1,""))</f>
        <v/>
      </c>
    </row>
    <row r="2803" spans="1:27">
      <c r="A2803" s="9"/>
      <c r="Z2803">
        <f>TRIM(A2803&amp;"")</f>
        <v/>
      </c>
      <c r="AA2803">
        <f>IF(Z2803="","",IF(MATCH(SUBSTITUTE(SUBSTITUTE(SUBSTITUTE(Z2803,"~","~~"),"*","~*"),"?","~?"),$Z$5:$Z$5004,0)=2799,MAX($AA$4:AA2802)+1,""))</f>
        <v/>
      </c>
    </row>
    <row r="2804" spans="1:27">
      <c r="A2804" s="9"/>
      <c r="Z2804">
        <f>TRIM(A2804&amp;"")</f>
        <v/>
      </c>
      <c r="AA2804">
        <f>IF(Z2804="","",IF(MATCH(SUBSTITUTE(SUBSTITUTE(SUBSTITUTE(Z2804,"~","~~"),"*","~*"),"?","~?"),$Z$5:$Z$5004,0)=2800,MAX($AA$4:AA2803)+1,""))</f>
        <v/>
      </c>
    </row>
    <row r="2805" spans="1:27">
      <c r="A2805" s="9"/>
      <c r="Z2805">
        <f>TRIM(A2805&amp;"")</f>
        <v/>
      </c>
      <c r="AA2805">
        <f>IF(Z2805="","",IF(MATCH(SUBSTITUTE(SUBSTITUTE(SUBSTITUTE(Z2805,"~","~~"),"*","~*"),"?","~?"),$Z$5:$Z$5004,0)=2801,MAX($AA$4:AA2804)+1,""))</f>
        <v/>
      </c>
    </row>
    <row r="2806" spans="1:27">
      <c r="A2806" s="9"/>
      <c r="Z2806">
        <f>TRIM(A2806&amp;"")</f>
        <v/>
      </c>
      <c r="AA2806">
        <f>IF(Z2806="","",IF(MATCH(SUBSTITUTE(SUBSTITUTE(SUBSTITUTE(Z2806,"~","~~"),"*","~*"),"?","~?"),$Z$5:$Z$5004,0)=2802,MAX($AA$4:AA2805)+1,""))</f>
        <v/>
      </c>
    </row>
    <row r="2807" spans="1:27">
      <c r="A2807" s="9"/>
      <c r="Z2807">
        <f>TRIM(A2807&amp;"")</f>
        <v/>
      </c>
      <c r="AA2807">
        <f>IF(Z2807="","",IF(MATCH(SUBSTITUTE(SUBSTITUTE(SUBSTITUTE(Z2807,"~","~~"),"*","~*"),"?","~?"),$Z$5:$Z$5004,0)=2803,MAX($AA$4:AA2806)+1,""))</f>
        <v/>
      </c>
    </row>
    <row r="2808" spans="1:27">
      <c r="A2808" s="9"/>
      <c r="Z2808">
        <f>TRIM(A2808&amp;"")</f>
        <v/>
      </c>
      <c r="AA2808">
        <f>IF(Z2808="","",IF(MATCH(SUBSTITUTE(SUBSTITUTE(SUBSTITUTE(Z2808,"~","~~"),"*","~*"),"?","~?"),$Z$5:$Z$5004,0)=2804,MAX($AA$4:AA2807)+1,""))</f>
        <v/>
      </c>
    </row>
    <row r="2809" spans="1:27">
      <c r="A2809" s="9"/>
      <c r="Z2809">
        <f>TRIM(A2809&amp;"")</f>
        <v/>
      </c>
      <c r="AA2809">
        <f>IF(Z2809="","",IF(MATCH(SUBSTITUTE(SUBSTITUTE(SUBSTITUTE(Z2809,"~","~~"),"*","~*"),"?","~?"),$Z$5:$Z$5004,0)=2805,MAX($AA$4:AA2808)+1,""))</f>
        <v/>
      </c>
    </row>
    <row r="2810" spans="1:27">
      <c r="A2810" s="9"/>
      <c r="Z2810">
        <f>TRIM(A2810&amp;"")</f>
        <v/>
      </c>
      <c r="AA2810">
        <f>IF(Z2810="","",IF(MATCH(SUBSTITUTE(SUBSTITUTE(SUBSTITUTE(Z2810,"~","~~"),"*","~*"),"?","~?"),$Z$5:$Z$5004,0)=2806,MAX($AA$4:AA2809)+1,""))</f>
        <v/>
      </c>
    </row>
    <row r="2811" spans="1:27">
      <c r="A2811" s="9"/>
      <c r="Z2811">
        <f>TRIM(A2811&amp;"")</f>
        <v/>
      </c>
      <c r="AA2811">
        <f>IF(Z2811="","",IF(MATCH(SUBSTITUTE(SUBSTITUTE(SUBSTITUTE(Z2811,"~","~~"),"*","~*"),"?","~?"),$Z$5:$Z$5004,0)=2807,MAX($AA$4:AA2810)+1,""))</f>
        <v/>
      </c>
    </row>
    <row r="2812" spans="1:27">
      <c r="A2812" s="9"/>
      <c r="Z2812">
        <f>TRIM(A2812&amp;"")</f>
        <v/>
      </c>
      <c r="AA2812">
        <f>IF(Z2812="","",IF(MATCH(SUBSTITUTE(SUBSTITUTE(SUBSTITUTE(Z2812,"~","~~"),"*","~*"),"?","~?"),$Z$5:$Z$5004,0)=2808,MAX($AA$4:AA2811)+1,""))</f>
        <v/>
      </c>
    </row>
    <row r="2813" spans="1:27">
      <c r="A2813" s="9"/>
      <c r="Z2813">
        <f>TRIM(A2813&amp;"")</f>
        <v/>
      </c>
      <c r="AA2813">
        <f>IF(Z2813="","",IF(MATCH(SUBSTITUTE(SUBSTITUTE(SUBSTITUTE(Z2813,"~","~~"),"*","~*"),"?","~?"),$Z$5:$Z$5004,0)=2809,MAX($AA$4:AA2812)+1,""))</f>
        <v/>
      </c>
    </row>
    <row r="2814" spans="1:27">
      <c r="A2814" s="9"/>
      <c r="Z2814">
        <f>TRIM(A2814&amp;"")</f>
        <v/>
      </c>
      <c r="AA2814">
        <f>IF(Z2814="","",IF(MATCH(SUBSTITUTE(SUBSTITUTE(SUBSTITUTE(Z2814,"~","~~"),"*","~*"),"?","~?"),$Z$5:$Z$5004,0)=2810,MAX($AA$4:AA2813)+1,""))</f>
        <v/>
      </c>
    </row>
    <row r="2815" spans="1:27">
      <c r="A2815" s="9"/>
      <c r="Z2815">
        <f>TRIM(A2815&amp;"")</f>
        <v/>
      </c>
      <c r="AA2815">
        <f>IF(Z2815="","",IF(MATCH(SUBSTITUTE(SUBSTITUTE(SUBSTITUTE(Z2815,"~","~~"),"*","~*"),"?","~?"),$Z$5:$Z$5004,0)=2811,MAX($AA$4:AA2814)+1,""))</f>
        <v/>
      </c>
    </row>
    <row r="2816" spans="1:27">
      <c r="A2816" s="9"/>
      <c r="Z2816">
        <f>TRIM(A2816&amp;"")</f>
        <v/>
      </c>
      <c r="AA2816">
        <f>IF(Z2816="","",IF(MATCH(SUBSTITUTE(SUBSTITUTE(SUBSTITUTE(Z2816,"~","~~"),"*","~*"),"?","~?"),$Z$5:$Z$5004,0)=2812,MAX($AA$4:AA2815)+1,""))</f>
        <v/>
      </c>
    </row>
    <row r="2817" spans="1:27">
      <c r="A2817" s="9"/>
      <c r="Z2817">
        <f>TRIM(A2817&amp;"")</f>
        <v/>
      </c>
      <c r="AA2817">
        <f>IF(Z2817="","",IF(MATCH(SUBSTITUTE(SUBSTITUTE(SUBSTITUTE(Z2817,"~","~~"),"*","~*"),"?","~?"),$Z$5:$Z$5004,0)=2813,MAX($AA$4:AA2816)+1,""))</f>
        <v/>
      </c>
    </row>
    <row r="2818" spans="1:27">
      <c r="A2818" s="9"/>
      <c r="Z2818">
        <f>TRIM(A2818&amp;"")</f>
        <v/>
      </c>
      <c r="AA2818">
        <f>IF(Z2818="","",IF(MATCH(SUBSTITUTE(SUBSTITUTE(SUBSTITUTE(Z2818,"~","~~"),"*","~*"),"?","~?"),$Z$5:$Z$5004,0)=2814,MAX($AA$4:AA2817)+1,""))</f>
        <v/>
      </c>
    </row>
    <row r="2819" spans="1:27">
      <c r="A2819" s="9"/>
      <c r="Z2819">
        <f>TRIM(A2819&amp;"")</f>
        <v/>
      </c>
      <c r="AA2819">
        <f>IF(Z2819="","",IF(MATCH(SUBSTITUTE(SUBSTITUTE(SUBSTITUTE(Z2819,"~","~~"),"*","~*"),"?","~?"),$Z$5:$Z$5004,0)=2815,MAX($AA$4:AA2818)+1,""))</f>
        <v/>
      </c>
    </row>
    <row r="2820" spans="1:27">
      <c r="A2820" s="9"/>
      <c r="Z2820">
        <f>TRIM(A2820&amp;"")</f>
        <v/>
      </c>
      <c r="AA2820">
        <f>IF(Z2820="","",IF(MATCH(SUBSTITUTE(SUBSTITUTE(SUBSTITUTE(Z2820,"~","~~"),"*","~*"),"?","~?"),$Z$5:$Z$5004,0)=2816,MAX($AA$4:AA2819)+1,""))</f>
        <v/>
      </c>
    </row>
    <row r="2821" spans="1:27">
      <c r="A2821" s="9"/>
      <c r="Z2821">
        <f>TRIM(A2821&amp;"")</f>
        <v/>
      </c>
      <c r="AA2821">
        <f>IF(Z2821="","",IF(MATCH(SUBSTITUTE(SUBSTITUTE(SUBSTITUTE(Z2821,"~","~~"),"*","~*"),"?","~?"),$Z$5:$Z$5004,0)=2817,MAX($AA$4:AA2820)+1,""))</f>
        <v/>
      </c>
    </row>
    <row r="2822" spans="1:27">
      <c r="A2822" s="9"/>
      <c r="Z2822">
        <f>TRIM(A2822&amp;"")</f>
        <v/>
      </c>
      <c r="AA2822">
        <f>IF(Z2822="","",IF(MATCH(SUBSTITUTE(SUBSTITUTE(SUBSTITUTE(Z2822,"~","~~"),"*","~*"),"?","~?"),$Z$5:$Z$5004,0)=2818,MAX($AA$4:AA2821)+1,""))</f>
        <v/>
      </c>
    </row>
    <row r="2823" spans="1:27">
      <c r="A2823" s="9"/>
      <c r="Z2823">
        <f>TRIM(A2823&amp;"")</f>
        <v/>
      </c>
      <c r="AA2823">
        <f>IF(Z2823="","",IF(MATCH(SUBSTITUTE(SUBSTITUTE(SUBSTITUTE(Z2823,"~","~~"),"*","~*"),"?","~?"),$Z$5:$Z$5004,0)=2819,MAX($AA$4:AA2822)+1,""))</f>
        <v/>
      </c>
    </row>
    <row r="2824" spans="1:27">
      <c r="A2824" s="9"/>
      <c r="Z2824">
        <f>TRIM(A2824&amp;"")</f>
        <v/>
      </c>
      <c r="AA2824">
        <f>IF(Z2824="","",IF(MATCH(SUBSTITUTE(SUBSTITUTE(SUBSTITUTE(Z2824,"~","~~"),"*","~*"),"?","~?"),$Z$5:$Z$5004,0)=2820,MAX($AA$4:AA2823)+1,""))</f>
        <v/>
      </c>
    </row>
    <row r="2825" spans="1:27">
      <c r="A2825" s="9"/>
      <c r="Z2825">
        <f>TRIM(A2825&amp;"")</f>
        <v/>
      </c>
      <c r="AA2825">
        <f>IF(Z2825="","",IF(MATCH(SUBSTITUTE(SUBSTITUTE(SUBSTITUTE(Z2825,"~","~~"),"*","~*"),"?","~?"),$Z$5:$Z$5004,0)=2821,MAX($AA$4:AA2824)+1,""))</f>
        <v/>
      </c>
    </row>
    <row r="2826" spans="1:27">
      <c r="A2826" s="9"/>
      <c r="Z2826">
        <f>TRIM(A2826&amp;"")</f>
        <v/>
      </c>
      <c r="AA2826">
        <f>IF(Z2826="","",IF(MATCH(SUBSTITUTE(SUBSTITUTE(SUBSTITUTE(Z2826,"~","~~"),"*","~*"),"?","~?"),$Z$5:$Z$5004,0)=2822,MAX($AA$4:AA2825)+1,""))</f>
        <v/>
      </c>
    </row>
    <row r="2827" spans="1:27">
      <c r="A2827" s="9"/>
      <c r="Z2827">
        <f>TRIM(A2827&amp;"")</f>
        <v/>
      </c>
      <c r="AA2827">
        <f>IF(Z2827="","",IF(MATCH(SUBSTITUTE(SUBSTITUTE(SUBSTITUTE(Z2827,"~","~~"),"*","~*"),"?","~?"),$Z$5:$Z$5004,0)=2823,MAX($AA$4:AA2826)+1,""))</f>
        <v/>
      </c>
    </row>
    <row r="2828" spans="1:27">
      <c r="A2828" s="9"/>
      <c r="Z2828">
        <f>TRIM(A2828&amp;"")</f>
        <v/>
      </c>
      <c r="AA2828">
        <f>IF(Z2828="","",IF(MATCH(SUBSTITUTE(SUBSTITUTE(SUBSTITUTE(Z2828,"~","~~"),"*","~*"),"?","~?"),$Z$5:$Z$5004,0)=2824,MAX($AA$4:AA2827)+1,""))</f>
        <v/>
      </c>
    </row>
    <row r="2829" spans="1:27">
      <c r="A2829" s="9"/>
      <c r="Z2829">
        <f>TRIM(A2829&amp;"")</f>
        <v/>
      </c>
      <c r="AA2829">
        <f>IF(Z2829="","",IF(MATCH(SUBSTITUTE(SUBSTITUTE(SUBSTITUTE(Z2829,"~","~~"),"*","~*"),"?","~?"),$Z$5:$Z$5004,0)=2825,MAX($AA$4:AA2828)+1,""))</f>
        <v/>
      </c>
    </row>
    <row r="2830" spans="1:27">
      <c r="A2830" s="9"/>
      <c r="Z2830">
        <f>TRIM(A2830&amp;"")</f>
        <v/>
      </c>
      <c r="AA2830">
        <f>IF(Z2830="","",IF(MATCH(SUBSTITUTE(SUBSTITUTE(SUBSTITUTE(Z2830,"~","~~"),"*","~*"),"?","~?"),$Z$5:$Z$5004,0)=2826,MAX($AA$4:AA2829)+1,""))</f>
        <v/>
      </c>
    </row>
    <row r="2831" spans="1:27">
      <c r="A2831" s="9"/>
      <c r="Z2831">
        <f>TRIM(A2831&amp;"")</f>
        <v/>
      </c>
      <c r="AA2831">
        <f>IF(Z2831="","",IF(MATCH(SUBSTITUTE(SUBSTITUTE(SUBSTITUTE(Z2831,"~","~~"),"*","~*"),"?","~?"),$Z$5:$Z$5004,0)=2827,MAX($AA$4:AA2830)+1,""))</f>
        <v/>
      </c>
    </row>
    <row r="2832" spans="1:27">
      <c r="A2832" s="9"/>
      <c r="Z2832">
        <f>TRIM(A2832&amp;"")</f>
        <v/>
      </c>
      <c r="AA2832">
        <f>IF(Z2832="","",IF(MATCH(SUBSTITUTE(SUBSTITUTE(SUBSTITUTE(Z2832,"~","~~"),"*","~*"),"?","~?"),$Z$5:$Z$5004,0)=2828,MAX($AA$4:AA2831)+1,""))</f>
        <v/>
      </c>
    </row>
    <row r="2833" spans="1:27">
      <c r="A2833" s="9"/>
      <c r="Z2833">
        <f>TRIM(A2833&amp;"")</f>
        <v/>
      </c>
      <c r="AA2833">
        <f>IF(Z2833="","",IF(MATCH(SUBSTITUTE(SUBSTITUTE(SUBSTITUTE(Z2833,"~","~~"),"*","~*"),"?","~?"),$Z$5:$Z$5004,0)=2829,MAX($AA$4:AA2832)+1,""))</f>
        <v/>
      </c>
    </row>
    <row r="2834" spans="1:27">
      <c r="A2834" s="9"/>
      <c r="Z2834">
        <f>TRIM(A2834&amp;"")</f>
        <v/>
      </c>
      <c r="AA2834">
        <f>IF(Z2834="","",IF(MATCH(SUBSTITUTE(SUBSTITUTE(SUBSTITUTE(Z2834,"~","~~"),"*","~*"),"?","~?"),$Z$5:$Z$5004,0)=2830,MAX($AA$4:AA2833)+1,""))</f>
        <v/>
      </c>
    </row>
    <row r="2835" spans="1:27">
      <c r="A2835" s="9"/>
      <c r="Z2835">
        <f>TRIM(A2835&amp;"")</f>
        <v/>
      </c>
      <c r="AA2835">
        <f>IF(Z2835="","",IF(MATCH(SUBSTITUTE(SUBSTITUTE(SUBSTITUTE(Z2835,"~","~~"),"*","~*"),"?","~?"),$Z$5:$Z$5004,0)=2831,MAX($AA$4:AA2834)+1,""))</f>
        <v/>
      </c>
    </row>
    <row r="2836" spans="1:27">
      <c r="A2836" s="9"/>
      <c r="Z2836">
        <f>TRIM(A2836&amp;"")</f>
        <v/>
      </c>
      <c r="AA2836">
        <f>IF(Z2836="","",IF(MATCH(SUBSTITUTE(SUBSTITUTE(SUBSTITUTE(Z2836,"~","~~"),"*","~*"),"?","~?"),$Z$5:$Z$5004,0)=2832,MAX($AA$4:AA2835)+1,""))</f>
        <v/>
      </c>
    </row>
    <row r="2837" spans="1:27">
      <c r="A2837" s="9"/>
      <c r="Z2837">
        <f>TRIM(A2837&amp;"")</f>
        <v/>
      </c>
      <c r="AA2837">
        <f>IF(Z2837="","",IF(MATCH(SUBSTITUTE(SUBSTITUTE(SUBSTITUTE(Z2837,"~","~~"),"*","~*"),"?","~?"),$Z$5:$Z$5004,0)=2833,MAX($AA$4:AA2836)+1,""))</f>
        <v/>
      </c>
    </row>
    <row r="2838" spans="1:27">
      <c r="A2838" s="9"/>
      <c r="Z2838">
        <f>TRIM(A2838&amp;"")</f>
        <v/>
      </c>
      <c r="AA2838">
        <f>IF(Z2838="","",IF(MATCH(SUBSTITUTE(SUBSTITUTE(SUBSTITUTE(Z2838,"~","~~"),"*","~*"),"?","~?"),$Z$5:$Z$5004,0)=2834,MAX($AA$4:AA2837)+1,""))</f>
        <v/>
      </c>
    </row>
    <row r="2839" spans="1:27">
      <c r="A2839" s="9"/>
      <c r="Z2839">
        <f>TRIM(A2839&amp;"")</f>
        <v/>
      </c>
      <c r="AA2839">
        <f>IF(Z2839="","",IF(MATCH(SUBSTITUTE(SUBSTITUTE(SUBSTITUTE(Z2839,"~","~~"),"*","~*"),"?","~?"),$Z$5:$Z$5004,0)=2835,MAX($AA$4:AA2838)+1,""))</f>
        <v/>
      </c>
    </row>
    <row r="2840" spans="1:27">
      <c r="A2840" s="9"/>
      <c r="Z2840">
        <f>TRIM(A2840&amp;"")</f>
        <v/>
      </c>
      <c r="AA2840">
        <f>IF(Z2840="","",IF(MATCH(SUBSTITUTE(SUBSTITUTE(SUBSTITUTE(Z2840,"~","~~"),"*","~*"),"?","~?"),$Z$5:$Z$5004,0)=2836,MAX($AA$4:AA2839)+1,""))</f>
        <v/>
      </c>
    </row>
    <row r="2841" spans="1:27">
      <c r="A2841" s="9"/>
      <c r="Z2841">
        <f>TRIM(A2841&amp;"")</f>
        <v/>
      </c>
      <c r="AA2841">
        <f>IF(Z2841="","",IF(MATCH(SUBSTITUTE(SUBSTITUTE(SUBSTITUTE(Z2841,"~","~~"),"*","~*"),"?","~?"),$Z$5:$Z$5004,0)=2837,MAX($AA$4:AA2840)+1,""))</f>
        <v/>
      </c>
    </row>
    <row r="2842" spans="1:27">
      <c r="A2842" s="9"/>
      <c r="Z2842">
        <f>TRIM(A2842&amp;"")</f>
        <v/>
      </c>
      <c r="AA2842">
        <f>IF(Z2842="","",IF(MATCH(SUBSTITUTE(SUBSTITUTE(SUBSTITUTE(Z2842,"~","~~"),"*","~*"),"?","~?"),$Z$5:$Z$5004,0)=2838,MAX($AA$4:AA2841)+1,""))</f>
        <v/>
      </c>
    </row>
    <row r="2843" spans="1:27">
      <c r="A2843" s="9"/>
      <c r="Z2843">
        <f>TRIM(A2843&amp;"")</f>
        <v/>
      </c>
      <c r="AA2843">
        <f>IF(Z2843="","",IF(MATCH(SUBSTITUTE(SUBSTITUTE(SUBSTITUTE(Z2843,"~","~~"),"*","~*"),"?","~?"),$Z$5:$Z$5004,0)=2839,MAX($AA$4:AA2842)+1,""))</f>
        <v/>
      </c>
    </row>
    <row r="2844" spans="1:27">
      <c r="A2844" s="9"/>
      <c r="Z2844">
        <f>TRIM(A2844&amp;"")</f>
        <v/>
      </c>
      <c r="AA2844">
        <f>IF(Z2844="","",IF(MATCH(SUBSTITUTE(SUBSTITUTE(SUBSTITUTE(Z2844,"~","~~"),"*","~*"),"?","~?"),$Z$5:$Z$5004,0)=2840,MAX($AA$4:AA2843)+1,""))</f>
        <v/>
      </c>
    </row>
    <row r="2845" spans="1:27">
      <c r="A2845" s="9"/>
      <c r="Z2845">
        <f>TRIM(A2845&amp;"")</f>
        <v/>
      </c>
      <c r="AA2845">
        <f>IF(Z2845="","",IF(MATCH(SUBSTITUTE(SUBSTITUTE(SUBSTITUTE(Z2845,"~","~~"),"*","~*"),"?","~?"),$Z$5:$Z$5004,0)=2841,MAX($AA$4:AA2844)+1,""))</f>
        <v/>
      </c>
    </row>
    <row r="2846" spans="1:27">
      <c r="A2846" s="9"/>
      <c r="Z2846">
        <f>TRIM(A2846&amp;"")</f>
        <v/>
      </c>
      <c r="AA2846">
        <f>IF(Z2846="","",IF(MATCH(SUBSTITUTE(SUBSTITUTE(SUBSTITUTE(Z2846,"~","~~"),"*","~*"),"?","~?"),$Z$5:$Z$5004,0)=2842,MAX($AA$4:AA2845)+1,""))</f>
        <v/>
      </c>
    </row>
    <row r="2847" spans="1:27">
      <c r="A2847" s="9"/>
      <c r="Z2847">
        <f>TRIM(A2847&amp;"")</f>
        <v/>
      </c>
      <c r="AA2847">
        <f>IF(Z2847="","",IF(MATCH(SUBSTITUTE(SUBSTITUTE(SUBSTITUTE(Z2847,"~","~~"),"*","~*"),"?","~?"),$Z$5:$Z$5004,0)=2843,MAX($AA$4:AA2846)+1,""))</f>
        <v/>
      </c>
    </row>
    <row r="2848" spans="1:27">
      <c r="A2848" s="9"/>
      <c r="Z2848">
        <f>TRIM(A2848&amp;"")</f>
        <v/>
      </c>
      <c r="AA2848">
        <f>IF(Z2848="","",IF(MATCH(SUBSTITUTE(SUBSTITUTE(SUBSTITUTE(Z2848,"~","~~"),"*","~*"),"?","~?"),$Z$5:$Z$5004,0)=2844,MAX($AA$4:AA2847)+1,""))</f>
        <v/>
      </c>
    </row>
    <row r="2849" spans="1:27">
      <c r="A2849" s="9"/>
      <c r="Z2849">
        <f>TRIM(A2849&amp;"")</f>
        <v/>
      </c>
      <c r="AA2849">
        <f>IF(Z2849="","",IF(MATCH(SUBSTITUTE(SUBSTITUTE(SUBSTITUTE(Z2849,"~","~~"),"*","~*"),"?","~?"),$Z$5:$Z$5004,0)=2845,MAX($AA$4:AA2848)+1,""))</f>
        <v/>
      </c>
    </row>
    <row r="2850" spans="1:27">
      <c r="A2850" s="9"/>
      <c r="Z2850">
        <f>TRIM(A2850&amp;"")</f>
        <v/>
      </c>
      <c r="AA2850">
        <f>IF(Z2850="","",IF(MATCH(SUBSTITUTE(SUBSTITUTE(SUBSTITUTE(Z2850,"~","~~"),"*","~*"),"?","~?"),$Z$5:$Z$5004,0)=2846,MAX($AA$4:AA2849)+1,""))</f>
        <v/>
      </c>
    </row>
    <row r="2851" spans="1:27">
      <c r="A2851" s="9"/>
      <c r="Z2851">
        <f>TRIM(A2851&amp;"")</f>
        <v/>
      </c>
      <c r="AA2851">
        <f>IF(Z2851="","",IF(MATCH(SUBSTITUTE(SUBSTITUTE(SUBSTITUTE(Z2851,"~","~~"),"*","~*"),"?","~?"),$Z$5:$Z$5004,0)=2847,MAX($AA$4:AA2850)+1,""))</f>
        <v/>
      </c>
    </row>
    <row r="2852" spans="1:27">
      <c r="A2852" s="9"/>
      <c r="Z2852">
        <f>TRIM(A2852&amp;"")</f>
        <v/>
      </c>
      <c r="AA2852">
        <f>IF(Z2852="","",IF(MATCH(SUBSTITUTE(SUBSTITUTE(SUBSTITUTE(Z2852,"~","~~"),"*","~*"),"?","~?"),$Z$5:$Z$5004,0)=2848,MAX($AA$4:AA2851)+1,""))</f>
        <v/>
      </c>
    </row>
    <row r="2853" spans="1:27">
      <c r="A2853" s="9"/>
      <c r="Z2853">
        <f>TRIM(A2853&amp;"")</f>
        <v/>
      </c>
      <c r="AA2853">
        <f>IF(Z2853="","",IF(MATCH(SUBSTITUTE(SUBSTITUTE(SUBSTITUTE(Z2853,"~","~~"),"*","~*"),"?","~?"),$Z$5:$Z$5004,0)=2849,MAX($AA$4:AA2852)+1,""))</f>
        <v/>
      </c>
    </row>
    <row r="2854" spans="1:27">
      <c r="A2854" s="9"/>
      <c r="Z2854">
        <f>TRIM(A2854&amp;"")</f>
        <v/>
      </c>
      <c r="AA2854">
        <f>IF(Z2854="","",IF(MATCH(SUBSTITUTE(SUBSTITUTE(SUBSTITUTE(Z2854,"~","~~"),"*","~*"),"?","~?"),$Z$5:$Z$5004,0)=2850,MAX($AA$4:AA2853)+1,""))</f>
        <v/>
      </c>
    </row>
    <row r="2855" spans="1:27">
      <c r="A2855" s="9"/>
      <c r="Z2855">
        <f>TRIM(A2855&amp;"")</f>
        <v/>
      </c>
      <c r="AA2855">
        <f>IF(Z2855="","",IF(MATCH(SUBSTITUTE(SUBSTITUTE(SUBSTITUTE(Z2855,"~","~~"),"*","~*"),"?","~?"),$Z$5:$Z$5004,0)=2851,MAX($AA$4:AA2854)+1,""))</f>
        <v/>
      </c>
    </row>
    <row r="2856" spans="1:27">
      <c r="A2856" s="9"/>
      <c r="Z2856">
        <f>TRIM(A2856&amp;"")</f>
        <v/>
      </c>
      <c r="AA2856">
        <f>IF(Z2856="","",IF(MATCH(SUBSTITUTE(SUBSTITUTE(SUBSTITUTE(Z2856,"~","~~"),"*","~*"),"?","~?"),$Z$5:$Z$5004,0)=2852,MAX($AA$4:AA2855)+1,""))</f>
        <v/>
      </c>
    </row>
    <row r="2857" spans="1:27">
      <c r="A2857" s="9"/>
      <c r="Z2857">
        <f>TRIM(A2857&amp;"")</f>
        <v/>
      </c>
      <c r="AA2857">
        <f>IF(Z2857="","",IF(MATCH(SUBSTITUTE(SUBSTITUTE(SUBSTITUTE(Z2857,"~","~~"),"*","~*"),"?","~?"),$Z$5:$Z$5004,0)=2853,MAX($AA$4:AA2856)+1,""))</f>
        <v/>
      </c>
    </row>
    <row r="2858" spans="1:27">
      <c r="A2858" s="9"/>
      <c r="Z2858">
        <f>TRIM(A2858&amp;"")</f>
        <v/>
      </c>
      <c r="AA2858">
        <f>IF(Z2858="","",IF(MATCH(SUBSTITUTE(SUBSTITUTE(SUBSTITUTE(Z2858,"~","~~"),"*","~*"),"?","~?"),$Z$5:$Z$5004,0)=2854,MAX($AA$4:AA2857)+1,""))</f>
        <v/>
      </c>
    </row>
    <row r="2859" spans="1:27">
      <c r="A2859" s="9"/>
      <c r="Z2859">
        <f>TRIM(A2859&amp;"")</f>
        <v/>
      </c>
      <c r="AA2859">
        <f>IF(Z2859="","",IF(MATCH(SUBSTITUTE(SUBSTITUTE(SUBSTITUTE(Z2859,"~","~~"),"*","~*"),"?","~?"),$Z$5:$Z$5004,0)=2855,MAX($AA$4:AA2858)+1,""))</f>
        <v/>
      </c>
    </row>
    <row r="2860" spans="1:27">
      <c r="A2860" s="9"/>
      <c r="Z2860">
        <f>TRIM(A2860&amp;"")</f>
        <v/>
      </c>
      <c r="AA2860">
        <f>IF(Z2860="","",IF(MATCH(SUBSTITUTE(SUBSTITUTE(SUBSTITUTE(Z2860,"~","~~"),"*","~*"),"?","~?"),$Z$5:$Z$5004,0)=2856,MAX($AA$4:AA2859)+1,""))</f>
        <v/>
      </c>
    </row>
    <row r="2861" spans="1:27">
      <c r="A2861" s="9"/>
      <c r="Z2861">
        <f>TRIM(A2861&amp;"")</f>
        <v/>
      </c>
      <c r="AA2861">
        <f>IF(Z2861="","",IF(MATCH(SUBSTITUTE(SUBSTITUTE(SUBSTITUTE(Z2861,"~","~~"),"*","~*"),"?","~?"),$Z$5:$Z$5004,0)=2857,MAX($AA$4:AA2860)+1,""))</f>
        <v/>
      </c>
    </row>
    <row r="2862" spans="1:27">
      <c r="A2862" s="9"/>
      <c r="Z2862">
        <f>TRIM(A2862&amp;"")</f>
        <v/>
      </c>
      <c r="AA2862">
        <f>IF(Z2862="","",IF(MATCH(SUBSTITUTE(SUBSTITUTE(SUBSTITUTE(Z2862,"~","~~"),"*","~*"),"?","~?"),$Z$5:$Z$5004,0)=2858,MAX($AA$4:AA2861)+1,""))</f>
        <v/>
      </c>
    </row>
    <row r="2863" spans="1:27">
      <c r="A2863" s="9"/>
      <c r="Z2863">
        <f>TRIM(A2863&amp;"")</f>
        <v/>
      </c>
      <c r="AA2863">
        <f>IF(Z2863="","",IF(MATCH(SUBSTITUTE(SUBSTITUTE(SUBSTITUTE(Z2863,"~","~~"),"*","~*"),"?","~?"),$Z$5:$Z$5004,0)=2859,MAX($AA$4:AA2862)+1,""))</f>
        <v/>
      </c>
    </row>
    <row r="2864" spans="1:27">
      <c r="A2864" s="9"/>
      <c r="Z2864">
        <f>TRIM(A2864&amp;"")</f>
        <v/>
      </c>
      <c r="AA2864">
        <f>IF(Z2864="","",IF(MATCH(SUBSTITUTE(SUBSTITUTE(SUBSTITUTE(Z2864,"~","~~"),"*","~*"),"?","~?"),$Z$5:$Z$5004,0)=2860,MAX($AA$4:AA2863)+1,""))</f>
        <v/>
      </c>
    </row>
    <row r="2865" spans="1:27">
      <c r="A2865" s="9"/>
      <c r="Z2865">
        <f>TRIM(A2865&amp;"")</f>
        <v/>
      </c>
      <c r="AA2865">
        <f>IF(Z2865="","",IF(MATCH(SUBSTITUTE(SUBSTITUTE(SUBSTITUTE(Z2865,"~","~~"),"*","~*"),"?","~?"),$Z$5:$Z$5004,0)=2861,MAX($AA$4:AA2864)+1,""))</f>
        <v/>
      </c>
    </row>
    <row r="2866" spans="1:27">
      <c r="A2866" s="9"/>
      <c r="Z2866">
        <f>TRIM(A2866&amp;"")</f>
        <v/>
      </c>
      <c r="AA2866">
        <f>IF(Z2866="","",IF(MATCH(SUBSTITUTE(SUBSTITUTE(SUBSTITUTE(Z2866,"~","~~"),"*","~*"),"?","~?"),$Z$5:$Z$5004,0)=2862,MAX($AA$4:AA2865)+1,""))</f>
        <v/>
      </c>
    </row>
    <row r="2867" spans="1:27">
      <c r="A2867" s="9"/>
      <c r="Z2867">
        <f>TRIM(A2867&amp;"")</f>
        <v/>
      </c>
      <c r="AA2867">
        <f>IF(Z2867="","",IF(MATCH(SUBSTITUTE(SUBSTITUTE(SUBSTITUTE(Z2867,"~","~~"),"*","~*"),"?","~?"),$Z$5:$Z$5004,0)=2863,MAX($AA$4:AA2866)+1,""))</f>
        <v/>
      </c>
    </row>
    <row r="2868" spans="1:27">
      <c r="A2868" s="9"/>
      <c r="Z2868">
        <f>TRIM(A2868&amp;"")</f>
        <v/>
      </c>
      <c r="AA2868">
        <f>IF(Z2868="","",IF(MATCH(SUBSTITUTE(SUBSTITUTE(SUBSTITUTE(Z2868,"~","~~"),"*","~*"),"?","~?"),$Z$5:$Z$5004,0)=2864,MAX($AA$4:AA2867)+1,""))</f>
        <v/>
      </c>
    </row>
    <row r="2869" spans="1:27">
      <c r="A2869" s="9"/>
      <c r="Z2869">
        <f>TRIM(A2869&amp;"")</f>
        <v/>
      </c>
      <c r="AA2869">
        <f>IF(Z2869="","",IF(MATCH(SUBSTITUTE(SUBSTITUTE(SUBSTITUTE(Z2869,"~","~~"),"*","~*"),"?","~?"),$Z$5:$Z$5004,0)=2865,MAX($AA$4:AA2868)+1,""))</f>
        <v/>
      </c>
    </row>
    <row r="2870" spans="1:27">
      <c r="A2870" s="9"/>
      <c r="Z2870">
        <f>TRIM(A2870&amp;"")</f>
        <v/>
      </c>
      <c r="AA2870">
        <f>IF(Z2870="","",IF(MATCH(SUBSTITUTE(SUBSTITUTE(SUBSTITUTE(Z2870,"~","~~"),"*","~*"),"?","~?"),$Z$5:$Z$5004,0)=2866,MAX($AA$4:AA2869)+1,""))</f>
        <v/>
      </c>
    </row>
    <row r="2871" spans="1:27">
      <c r="A2871" s="9"/>
      <c r="Z2871">
        <f>TRIM(A2871&amp;"")</f>
        <v/>
      </c>
      <c r="AA2871">
        <f>IF(Z2871="","",IF(MATCH(SUBSTITUTE(SUBSTITUTE(SUBSTITUTE(Z2871,"~","~~"),"*","~*"),"?","~?"),$Z$5:$Z$5004,0)=2867,MAX($AA$4:AA2870)+1,""))</f>
        <v/>
      </c>
    </row>
    <row r="2872" spans="1:27">
      <c r="A2872" s="9"/>
      <c r="Z2872">
        <f>TRIM(A2872&amp;"")</f>
        <v/>
      </c>
      <c r="AA2872">
        <f>IF(Z2872="","",IF(MATCH(SUBSTITUTE(SUBSTITUTE(SUBSTITUTE(Z2872,"~","~~"),"*","~*"),"?","~?"),$Z$5:$Z$5004,0)=2868,MAX($AA$4:AA2871)+1,""))</f>
        <v/>
      </c>
    </row>
    <row r="2873" spans="1:27">
      <c r="A2873" s="9"/>
      <c r="Z2873">
        <f>TRIM(A2873&amp;"")</f>
        <v/>
      </c>
      <c r="AA2873">
        <f>IF(Z2873="","",IF(MATCH(SUBSTITUTE(SUBSTITUTE(SUBSTITUTE(Z2873,"~","~~"),"*","~*"),"?","~?"),$Z$5:$Z$5004,0)=2869,MAX($AA$4:AA2872)+1,""))</f>
        <v/>
      </c>
    </row>
    <row r="2874" spans="1:27">
      <c r="A2874" s="9"/>
      <c r="Z2874">
        <f>TRIM(A2874&amp;"")</f>
        <v/>
      </c>
      <c r="AA2874">
        <f>IF(Z2874="","",IF(MATCH(SUBSTITUTE(SUBSTITUTE(SUBSTITUTE(Z2874,"~","~~"),"*","~*"),"?","~?"),$Z$5:$Z$5004,0)=2870,MAX($AA$4:AA2873)+1,""))</f>
        <v/>
      </c>
    </row>
    <row r="2875" spans="1:27">
      <c r="A2875" s="9"/>
      <c r="Z2875">
        <f>TRIM(A2875&amp;"")</f>
        <v/>
      </c>
      <c r="AA2875">
        <f>IF(Z2875="","",IF(MATCH(SUBSTITUTE(SUBSTITUTE(SUBSTITUTE(Z2875,"~","~~"),"*","~*"),"?","~?"),$Z$5:$Z$5004,0)=2871,MAX($AA$4:AA2874)+1,""))</f>
        <v/>
      </c>
    </row>
    <row r="2876" spans="1:27">
      <c r="A2876" s="9"/>
      <c r="Z2876">
        <f>TRIM(A2876&amp;"")</f>
        <v/>
      </c>
      <c r="AA2876">
        <f>IF(Z2876="","",IF(MATCH(SUBSTITUTE(SUBSTITUTE(SUBSTITUTE(Z2876,"~","~~"),"*","~*"),"?","~?"),$Z$5:$Z$5004,0)=2872,MAX($AA$4:AA2875)+1,""))</f>
        <v/>
      </c>
    </row>
    <row r="2877" spans="1:27">
      <c r="A2877" s="9"/>
      <c r="Z2877">
        <f>TRIM(A2877&amp;"")</f>
        <v/>
      </c>
      <c r="AA2877">
        <f>IF(Z2877="","",IF(MATCH(SUBSTITUTE(SUBSTITUTE(SUBSTITUTE(Z2877,"~","~~"),"*","~*"),"?","~?"),$Z$5:$Z$5004,0)=2873,MAX($AA$4:AA2876)+1,""))</f>
        <v/>
      </c>
    </row>
    <row r="2878" spans="1:27">
      <c r="A2878" s="9"/>
      <c r="Z2878">
        <f>TRIM(A2878&amp;"")</f>
        <v/>
      </c>
      <c r="AA2878">
        <f>IF(Z2878="","",IF(MATCH(SUBSTITUTE(SUBSTITUTE(SUBSTITUTE(Z2878,"~","~~"),"*","~*"),"?","~?"),$Z$5:$Z$5004,0)=2874,MAX($AA$4:AA2877)+1,""))</f>
        <v/>
      </c>
    </row>
    <row r="2879" spans="1:27">
      <c r="A2879" s="9"/>
      <c r="Z2879">
        <f>TRIM(A2879&amp;"")</f>
        <v/>
      </c>
      <c r="AA2879">
        <f>IF(Z2879="","",IF(MATCH(SUBSTITUTE(SUBSTITUTE(SUBSTITUTE(Z2879,"~","~~"),"*","~*"),"?","~?"),$Z$5:$Z$5004,0)=2875,MAX($AA$4:AA2878)+1,""))</f>
        <v/>
      </c>
    </row>
    <row r="2880" spans="1:27">
      <c r="A2880" s="9"/>
      <c r="Z2880">
        <f>TRIM(A2880&amp;"")</f>
        <v/>
      </c>
      <c r="AA2880">
        <f>IF(Z2880="","",IF(MATCH(SUBSTITUTE(SUBSTITUTE(SUBSTITUTE(Z2880,"~","~~"),"*","~*"),"?","~?"),$Z$5:$Z$5004,0)=2876,MAX($AA$4:AA2879)+1,""))</f>
        <v/>
      </c>
    </row>
    <row r="2881" spans="1:27">
      <c r="A2881" s="9"/>
      <c r="Z2881">
        <f>TRIM(A2881&amp;"")</f>
        <v/>
      </c>
      <c r="AA2881">
        <f>IF(Z2881="","",IF(MATCH(SUBSTITUTE(SUBSTITUTE(SUBSTITUTE(Z2881,"~","~~"),"*","~*"),"?","~?"),$Z$5:$Z$5004,0)=2877,MAX($AA$4:AA2880)+1,""))</f>
        <v/>
      </c>
    </row>
    <row r="2882" spans="1:27">
      <c r="A2882" s="9"/>
      <c r="Z2882">
        <f>TRIM(A2882&amp;"")</f>
        <v/>
      </c>
      <c r="AA2882">
        <f>IF(Z2882="","",IF(MATCH(SUBSTITUTE(SUBSTITUTE(SUBSTITUTE(Z2882,"~","~~"),"*","~*"),"?","~?"),$Z$5:$Z$5004,0)=2878,MAX($AA$4:AA2881)+1,""))</f>
        <v/>
      </c>
    </row>
    <row r="2883" spans="1:27">
      <c r="A2883" s="9"/>
      <c r="Z2883">
        <f>TRIM(A2883&amp;"")</f>
        <v/>
      </c>
      <c r="AA2883">
        <f>IF(Z2883="","",IF(MATCH(SUBSTITUTE(SUBSTITUTE(SUBSTITUTE(Z2883,"~","~~"),"*","~*"),"?","~?"),$Z$5:$Z$5004,0)=2879,MAX($AA$4:AA2882)+1,""))</f>
        <v/>
      </c>
    </row>
    <row r="2884" spans="1:27">
      <c r="A2884" s="9"/>
      <c r="Z2884">
        <f>TRIM(A2884&amp;"")</f>
        <v/>
      </c>
      <c r="AA2884">
        <f>IF(Z2884="","",IF(MATCH(SUBSTITUTE(SUBSTITUTE(SUBSTITUTE(Z2884,"~","~~"),"*","~*"),"?","~?"),$Z$5:$Z$5004,0)=2880,MAX($AA$4:AA2883)+1,""))</f>
        <v/>
      </c>
    </row>
    <row r="2885" spans="1:27">
      <c r="A2885" s="9"/>
      <c r="Z2885">
        <f>TRIM(A2885&amp;"")</f>
        <v/>
      </c>
      <c r="AA2885">
        <f>IF(Z2885="","",IF(MATCH(SUBSTITUTE(SUBSTITUTE(SUBSTITUTE(Z2885,"~","~~"),"*","~*"),"?","~?"),$Z$5:$Z$5004,0)=2881,MAX($AA$4:AA2884)+1,""))</f>
        <v/>
      </c>
    </row>
    <row r="2886" spans="1:27">
      <c r="A2886" s="9"/>
      <c r="Z2886">
        <f>TRIM(A2886&amp;"")</f>
        <v/>
      </c>
      <c r="AA2886">
        <f>IF(Z2886="","",IF(MATCH(SUBSTITUTE(SUBSTITUTE(SUBSTITUTE(Z2886,"~","~~"),"*","~*"),"?","~?"),$Z$5:$Z$5004,0)=2882,MAX($AA$4:AA2885)+1,""))</f>
        <v/>
      </c>
    </row>
    <row r="2887" spans="1:27">
      <c r="A2887" s="9"/>
      <c r="Z2887">
        <f>TRIM(A2887&amp;"")</f>
        <v/>
      </c>
      <c r="AA2887">
        <f>IF(Z2887="","",IF(MATCH(SUBSTITUTE(SUBSTITUTE(SUBSTITUTE(Z2887,"~","~~"),"*","~*"),"?","~?"),$Z$5:$Z$5004,0)=2883,MAX($AA$4:AA2886)+1,""))</f>
        <v/>
      </c>
    </row>
    <row r="2888" spans="1:27">
      <c r="A2888" s="9"/>
      <c r="Z2888">
        <f>TRIM(A2888&amp;"")</f>
        <v/>
      </c>
      <c r="AA2888">
        <f>IF(Z2888="","",IF(MATCH(SUBSTITUTE(SUBSTITUTE(SUBSTITUTE(Z2888,"~","~~"),"*","~*"),"?","~?"),$Z$5:$Z$5004,0)=2884,MAX($AA$4:AA2887)+1,""))</f>
        <v/>
      </c>
    </row>
    <row r="2889" spans="1:27">
      <c r="A2889" s="9"/>
      <c r="Z2889">
        <f>TRIM(A2889&amp;"")</f>
        <v/>
      </c>
      <c r="AA2889">
        <f>IF(Z2889="","",IF(MATCH(SUBSTITUTE(SUBSTITUTE(SUBSTITUTE(Z2889,"~","~~"),"*","~*"),"?","~?"),$Z$5:$Z$5004,0)=2885,MAX($AA$4:AA2888)+1,""))</f>
        <v/>
      </c>
    </row>
    <row r="2890" spans="1:27">
      <c r="A2890" s="9"/>
      <c r="Z2890">
        <f>TRIM(A2890&amp;"")</f>
        <v/>
      </c>
      <c r="AA2890">
        <f>IF(Z2890="","",IF(MATCH(SUBSTITUTE(SUBSTITUTE(SUBSTITUTE(Z2890,"~","~~"),"*","~*"),"?","~?"),$Z$5:$Z$5004,0)=2886,MAX($AA$4:AA2889)+1,""))</f>
        <v/>
      </c>
    </row>
    <row r="2891" spans="1:27">
      <c r="A2891" s="9"/>
      <c r="Z2891">
        <f>TRIM(A2891&amp;"")</f>
        <v/>
      </c>
      <c r="AA2891">
        <f>IF(Z2891="","",IF(MATCH(SUBSTITUTE(SUBSTITUTE(SUBSTITUTE(Z2891,"~","~~"),"*","~*"),"?","~?"),$Z$5:$Z$5004,0)=2887,MAX($AA$4:AA2890)+1,""))</f>
        <v/>
      </c>
    </row>
    <row r="2892" spans="1:27">
      <c r="A2892" s="9"/>
      <c r="Z2892">
        <f>TRIM(A2892&amp;"")</f>
        <v/>
      </c>
      <c r="AA2892">
        <f>IF(Z2892="","",IF(MATCH(SUBSTITUTE(SUBSTITUTE(SUBSTITUTE(Z2892,"~","~~"),"*","~*"),"?","~?"),$Z$5:$Z$5004,0)=2888,MAX($AA$4:AA2891)+1,""))</f>
        <v/>
      </c>
    </row>
    <row r="2893" spans="1:27">
      <c r="A2893" s="9"/>
      <c r="Z2893">
        <f>TRIM(A2893&amp;"")</f>
        <v/>
      </c>
      <c r="AA2893">
        <f>IF(Z2893="","",IF(MATCH(SUBSTITUTE(SUBSTITUTE(SUBSTITUTE(Z2893,"~","~~"),"*","~*"),"?","~?"),$Z$5:$Z$5004,0)=2889,MAX($AA$4:AA2892)+1,""))</f>
        <v/>
      </c>
    </row>
    <row r="2894" spans="1:27">
      <c r="A2894" s="9"/>
      <c r="Z2894">
        <f>TRIM(A2894&amp;"")</f>
        <v/>
      </c>
      <c r="AA2894">
        <f>IF(Z2894="","",IF(MATCH(SUBSTITUTE(SUBSTITUTE(SUBSTITUTE(Z2894,"~","~~"),"*","~*"),"?","~?"),$Z$5:$Z$5004,0)=2890,MAX($AA$4:AA2893)+1,""))</f>
        <v/>
      </c>
    </row>
    <row r="2895" spans="1:27">
      <c r="A2895" s="9"/>
      <c r="Z2895">
        <f>TRIM(A2895&amp;"")</f>
        <v/>
      </c>
      <c r="AA2895">
        <f>IF(Z2895="","",IF(MATCH(SUBSTITUTE(SUBSTITUTE(SUBSTITUTE(Z2895,"~","~~"),"*","~*"),"?","~?"),$Z$5:$Z$5004,0)=2891,MAX($AA$4:AA2894)+1,""))</f>
        <v/>
      </c>
    </row>
    <row r="2896" spans="1:27">
      <c r="A2896" s="9"/>
      <c r="Z2896">
        <f>TRIM(A2896&amp;"")</f>
        <v/>
      </c>
      <c r="AA2896">
        <f>IF(Z2896="","",IF(MATCH(SUBSTITUTE(SUBSTITUTE(SUBSTITUTE(Z2896,"~","~~"),"*","~*"),"?","~?"),$Z$5:$Z$5004,0)=2892,MAX($AA$4:AA2895)+1,""))</f>
        <v/>
      </c>
    </row>
    <row r="2897" spans="1:27">
      <c r="A2897" s="9"/>
      <c r="Z2897">
        <f>TRIM(A2897&amp;"")</f>
        <v/>
      </c>
      <c r="AA2897">
        <f>IF(Z2897="","",IF(MATCH(SUBSTITUTE(SUBSTITUTE(SUBSTITUTE(Z2897,"~","~~"),"*","~*"),"?","~?"),$Z$5:$Z$5004,0)=2893,MAX($AA$4:AA2896)+1,""))</f>
        <v/>
      </c>
    </row>
    <row r="2898" spans="1:27">
      <c r="A2898" s="9"/>
      <c r="Z2898">
        <f>TRIM(A2898&amp;"")</f>
        <v/>
      </c>
      <c r="AA2898">
        <f>IF(Z2898="","",IF(MATCH(SUBSTITUTE(SUBSTITUTE(SUBSTITUTE(Z2898,"~","~~"),"*","~*"),"?","~?"),$Z$5:$Z$5004,0)=2894,MAX($AA$4:AA2897)+1,""))</f>
        <v/>
      </c>
    </row>
    <row r="2899" spans="1:27">
      <c r="A2899" s="9"/>
      <c r="Z2899">
        <f>TRIM(A2899&amp;"")</f>
        <v/>
      </c>
      <c r="AA2899">
        <f>IF(Z2899="","",IF(MATCH(SUBSTITUTE(SUBSTITUTE(SUBSTITUTE(Z2899,"~","~~"),"*","~*"),"?","~?"),$Z$5:$Z$5004,0)=2895,MAX($AA$4:AA2898)+1,""))</f>
        <v/>
      </c>
    </row>
    <row r="2900" spans="1:27">
      <c r="A2900" s="9"/>
      <c r="Z2900">
        <f>TRIM(A2900&amp;"")</f>
        <v/>
      </c>
      <c r="AA2900">
        <f>IF(Z2900="","",IF(MATCH(SUBSTITUTE(SUBSTITUTE(SUBSTITUTE(Z2900,"~","~~"),"*","~*"),"?","~?"),$Z$5:$Z$5004,0)=2896,MAX($AA$4:AA2899)+1,""))</f>
        <v/>
      </c>
    </row>
    <row r="2901" spans="1:27">
      <c r="A2901" s="9"/>
      <c r="Z2901">
        <f>TRIM(A2901&amp;"")</f>
        <v/>
      </c>
      <c r="AA2901">
        <f>IF(Z2901="","",IF(MATCH(SUBSTITUTE(SUBSTITUTE(SUBSTITUTE(Z2901,"~","~~"),"*","~*"),"?","~?"),$Z$5:$Z$5004,0)=2897,MAX($AA$4:AA2900)+1,""))</f>
        <v/>
      </c>
    </row>
    <row r="2902" spans="1:27">
      <c r="A2902" s="9"/>
      <c r="Z2902">
        <f>TRIM(A2902&amp;"")</f>
        <v/>
      </c>
      <c r="AA2902">
        <f>IF(Z2902="","",IF(MATCH(SUBSTITUTE(SUBSTITUTE(SUBSTITUTE(Z2902,"~","~~"),"*","~*"),"?","~?"),$Z$5:$Z$5004,0)=2898,MAX($AA$4:AA2901)+1,""))</f>
        <v/>
      </c>
    </row>
    <row r="2903" spans="1:27">
      <c r="A2903" s="9"/>
      <c r="Z2903">
        <f>TRIM(A2903&amp;"")</f>
        <v/>
      </c>
      <c r="AA2903">
        <f>IF(Z2903="","",IF(MATCH(SUBSTITUTE(SUBSTITUTE(SUBSTITUTE(Z2903,"~","~~"),"*","~*"),"?","~?"),$Z$5:$Z$5004,0)=2899,MAX($AA$4:AA2902)+1,""))</f>
        <v/>
      </c>
    </row>
    <row r="2904" spans="1:27">
      <c r="A2904" s="9"/>
      <c r="Z2904">
        <f>TRIM(A2904&amp;"")</f>
        <v/>
      </c>
      <c r="AA2904">
        <f>IF(Z2904="","",IF(MATCH(SUBSTITUTE(SUBSTITUTE(SUBSTITUTE(Z2904,"~","~~"),"*","~*"),"?","~?"),$Z$5:$Z$5004,0)=2900,MAX($AA$4:AA2903)+1,""))</f>
        <v/>
      </c>
    </row>
    <row r="2905" spans="1:27">
      <c r="A2905" s="9"/>
      <c r="Z2905">
        <f>TRIM(A2905&amp;"")</f>
        <v/>
      </c>
      <c r="AA2905">
        <f>IF(Z2905="","",IF(MATCH(SUBSTITUTE(SUBSTITUTE(SUBSTITUTE(Z2905,"~","~~"),"*","~*"),"?","~?"),$Z$5:$Z$5004,0)=2901,MAX($AA$4:AA2904)+1,""))</f>
        <v/>
      </c>
    </row>
    <row r="2906" spans="1:27">
      <c r="A2906" s="9"/>
      <c r="Z2906">
        <f>TRIM(A2906&amp;"")</f>
        <v/>
      </c>
      <c r="AA2906">
        <f>IF(Z2906="","",IF(MATCH(SUBSTITUTE(SUBSTITUTE(SUBSTITUTE(Z2906,"~","~~"),"*","~*"),"?","~?"),$Z$5:$Z$5004,0)=2902,MAX($AA$4:AA2905)+1,""))</f>
        <v/>
      </c>
    </row>
    <row r="2907" spans="1:27">
      <c r="A2907" s="9"/>
      <c r="Z2907">
        <f>TRIM(A2907&amp;"")</f>
        <v/>
      </c>
      <c r="AA2907">
        <f>IF(Z2907="","",IF(MATCH(SUBSTITUTE(SUBSTITUTE(SUBSTITUTE(Z2907,"~","~~"),"*","~*"),"?","~?"),$Z$5:$Z$5004,0)=2903,MAX($AA$4:AA2906)+1,""))</f>
        <v/>
      </c>
    </row>
    <row r="2908" spans="1:27">
      <c r="A2908" s="9"/>
      <c r="Z2908">
        <f>TRIM(A2908&amp;"")</f>
        <v/>
      </c>
      <c r="AA2908">
        <f>IF(Z2908="","",IF(MATCH(SUBSTITUTE(SUBSTITUTE(SUBSTITUTE(Z2908,"~","~~"),"*","~*"),"?","~?"),$Z$5:$Z$5004,0)=2904,MAX($AA$4:AA2907)+1,""))</f>
        <v/>
      </c>
    </row>
    <row r="2909" spans="1:27">
      <c r="A2909" s="9"/>
      <c r="Z2909">
        <f>TRIM(A2909&amp;"")</f>
        <v/>
      </c>
      <c r="AA2909">
        <f>IF(Z2909="","",IF(MATCH(SUBSTITUTE(SUBSTITUTE(SUBSTITUTE(Z2909,"~","~~"),"*","~*"),"?","~?"),$Z$5:$Z$5004,0)=2905,MAX($AA$4:AA2908)+1,""))</f>
        <v/>
      </c>
    </row>
    <row r="2910" spans="1:27">
      <c r="A2910" s="9"/>
      <c r="Z2910">
        <f>TRIM(A2910&amp;"")</f>
        <v/>
      </c>
      <c r="AA2910">
        <f>IF(Z2910="","",IF(MATCH(SUBSTITUTE(SUBSTITUTE(SUBSTITUTE(Z2910,"~","~~"),"*","~*"),"?","~?"),$Z$5:$Z$5004,0)=2906,MAX($AA$4:AA2909)+1,""))</f>
        <v/>
      </c>
    </row>
    <row r="2911" spans="1:27">
      <c r="A2911" s="9"/>
      <c r="Z2911">
        <f>TRIM(A2911&amp;"")</f>
        <v/>
      </c>
      <c r="AA2911">
        <f>IF(Z2911="","",IF(MATCH(SUBSTITUTE(SUBSTITUTE(SUBSTITUTE(Z2911,"~","~~"),"*","~*"),"?","~?"),$Z$5:$Z$5004,0)=2907,MAX($AA$4:AA2910)+1,""))</f>
        <v/>
      </c>
    </row>
    <row r="2912" spans="1:27">
      <c r="A2912" s="9"/>
      <c r="Z2912">
        <f>TRIM(A2912&amp;"")</f>
        <v/>
      </c>
      <c r="AA2912">
        <f>IF(Z2912="","",IF(MATCH(SUBSTITUTE(SUBSTITUTE(SUBSTITUTE(Z2912,"~","~~"),"*","~*"),"?","~?"),$Z$5:$Z$5004,0)=2908,MAX($AA$4:AA2911)+1,""))</f>
        <v/>
      </c>
    </row>
    <row r="2913" spans="1:27">
      <c r="A2913" s="9"/>
      <c r="Z2913">
        <f>TRIM(A2913&amp;"")</f>
        <v/>
      </c>
      <c r="AA2913">
        <f>IF(Z2913="","",IF(MATCH(SUBSTITUTE(SUBSTITUTE(SUBSTITUTE(Z2913,"~","~~"),"*","~*"),"?","~?"),$Z$5:$Z$5004,0)=2909,MAX($AA$4:AA2912)+1,""))</f>
        <v/>
      </c>
    </row>
    <row r="2914" spans="1:27">
      <c r="A2914" s="9"/>
      <c r="Z2914">
        <f>TRIM(A2914&amp;"")</f>
        <v/>
      </c>
      <c r="AA2914">
        <f>IF(Z2914="","",IF(MATCH(SUBSTITUTE(SUBSTITUTE(SUBSTITUTE(Z2914,"~","~~"),"*","~*"),"?","~?"),$Z$5:$Z$5004,0)=2910,MAX($AA$4:AA2913)+1,""))</f>
        <v/>
      </c>
    </row>
    <row r="2915" spans="1:27">
      <c r="A2915" s="9"/>
      <c r="Z2915">
        <f>TRIM(A2915&amp;"")</f>
        <v/>
      </c>
      <c r="AA2915">
        <f>IF(Z2915="","",IF(MATCH(SUBSTITUTE(SUBSTITUTE(SUBSTITUTE(Z2915,"~","~~"),"*","~*"),"?","~?"),$Z$5:$Z$5004,0)=2911,MAX($AA$4:AA2914)+1,""))</f>
        <v/>
      </c>
    </row>
    <row r="2916" spans="1:27">
      <c r="A2916" s="9"/>
      <c r="Z2916">
        <f>TRIM(A2916&amp;"")</f>
        <v/>
      </c>
      <c r="AA2916">
        <f>IF(Z2916="","",IF(MATCH(SUBSTITUTE(SUBSTITUTE(SUBSTITUTE(Z2916,"~","~~"),"*","~*"),"?","~?"),$Z$5:$Z$5004,0)=2912,MAX($AA$4:AA2915)+1,""))</f>
        <v/>
      </c>
    </row>
    <row r="2917" spans="1:27">
      <c r="A2917" s="9"/>
      <c r="Z2917">
        <f>TRIM(A2917&amp;"")</f>
        <v/>
      </c>
      <c r="AA2917">
        <f>IF(Z2917="","",IF(MATCH(SUBSTITUTE(SUBSTITUTE(SUBSTITUTE(Z2917,"~","~~"),"*","~*"),"?","~?"),$Z$5:$Z$5004,0)=2913,MAX($AA$4:AA2916)+1,""))</f>
        <v/>
      </c>
    </row>
    <row r="2918" spans="1:27">
      <c r="A2918" s="9"/>
      <c r="Z2918">
        <f>TRIM(A2918&amp;"")</f>
        <v/>
      </c>
      <c r="AA2918">
        <f>IF(Z2918="","",IF(MATCH(SUBSTITUTE(SUBSTITUTE(SUBSTITUTE(Z2918,"~","~~"),"*","~*"),"?","~?"),$Z$5:$Z$5004,0)=2914,MAX($AA$4:AA2917)+1,""))</f>
        <v/>
      </c>
    </row>
    <row r="2919" spans="1:27">
      <c r="A2919" s="9"/>
      <c r="Z2919">
        <f>TRIM(A2919&amp;"")</f>
        <v/>
      </c>
      <c r="AA2919">
        <f>IF(Z2919="","",IF(MATCH(SUBSTITUTE(SUBSTITUTE(SUBSTITUTE(Z2919,"~","~~"),"*","~*"),"?","~?"),$Z$5:$Z$5004,0)=2915,MAX($AA$4:AA2918)+1,""))</f>
        <v/>
      </c>
    </row>
    <row r="2920" spans="1:27">
      <c r="A2920" s="9"/>
      <c r="Z2920">
        <f>TRIM(A2920&amp;"")</f>
        <v/>
      </c>
      <c r="AA2920">
        <f>IF(Z2920="","",IF(MATCH(SUBSTITUTE(SUBSTITUTE(SUBSTITUTE(Z2920,"~","~~"),"*","~*"),"?","~?"),$Z$5:$Z$5004,0)=2916,MAX($AA$4:AA2919)+1,""))</f>
        <v/>
      </c>
    </row>
    <row r="2921" spans="1:27">
      <c r="A2921" s="9"/>
      <c r="Z2921">
        <f>TRIM(A2921&amp;"")</f>
        <v/>
      </c>
      <c r="AA2921">
        <f>IF(Z2921="","",IF(MATCH(SUBSTITUTE(SUBSTITUTE(SUBSTITUTE(Z2921,"~","~~"),"*","~*"),"?","~?"),$Z$5:$Z$5004,0)=2917,MAX($AA$4:AA2920)+1,""))</f>
        <v/>
      </c>
    </row>
    <row r="2922" spans="1:27">
      <c r="A2922" s="9"/>
      <c r="Z2922">
        <f>TRIM(A2922&amp;"")</f>
        <v/>
      </c>
      <c r="AA2922">
        <f>IF(Z2922="","",IF(MATCH(SUBSTITUTE(SUBSTITUTE(SUBSTITUTE(Z2922,"~","~~"),"*","~*"),"?","~?"),$Z$5:$Z$5004,0)=2918,MAX($AA$4:AA2921)+1,""))</f>
        <v/>
      </c>
    </row>
    <row r="2923" spans="1:27">
      <c r="A2923" s="9"/>
      <c r="Z2923">
        <f>TRIM(A2923&amp;"")</f>
        <v/>
      </c>
      <c r="AA2923">
        <f>IF(Z2923="","",IF(MATCH(SUBSTITUTE(SUBSTITUTE(SUBSTITUTE(Z2923,"~","~~"),"*","~*"),"?","~?"),$Z$5:$Z$5004,0)=2919,MAX($AA$4:AA2922)+1,""))</f>
        <v/>
      </c>
    </row>
    <row r="2924" spans="1:27">
      <c r="A2924" s="9"/>
      <c r="Z2924">
        <f>TRIM(A2924&amp;"")</f>
        <v/>
      </c>
      <c r="AA2924">
        <f>IF(Z2924="","",IF(MATCH(SUBSTITUTE(SUBSTITUTE(SUBSTITUTE(Z2924,"~","~~"),"*","~*"),"?","~?"),$Z$5:$Z$5004,0)=2920,MAX($AA$4:AA2923)+1,""))</f>
        <v/>
      </c>
    </row>
    <row r="2925" spans="1:27">
      <c r="A2925" s="9"/>
      <c r="Z2925">
        <f>TRIM(A2925&amp;"")</f>
        <v/>
      </c>
      <c r="AA2925">
        <f>IF(Z2925="","",IF(MATCH(SUBSTITUTE(SUBSTITUTE(SUBSTITUTE(Z2925,"~","~~"),"*","~*"),"?","~?"),$Z$5:$Z$5004,0)=2921,MAX($AA$4:AA2924)+1,""))</f>
        <v/>
      </c>
    </row>
    <row r="2926" spans="1:27">
      <c r="A2926" s="9"/>
      <c r="Z2926">
        <f>TRIM(A2926&amp;"")</f>
        <v/>
      </c>
      <c r="AA2926">
        <f>IF(Z2926="","",IF(MATCH(SUBSTITUTE(SUBSTITUTE(SUBSTITUTE(Z2926,"~","~~"),"*","~*"),"?","~?"),$Z$5:$Z$5004,0)=2922,MAX($AA$4:AA2925)+1,""))</f>
        <v/>
      </c>
    </row>
    <row r="2927" spans="1:27">
      <c r="A2927" s="9"/>
      <c r="Z2927">
        <f>TRIM(A2927&amp;"")</f>
        <v/>
      </c>
      <c r="AA2927">
        <f>IF(Z2927="","",IF(MATCH(SUBSTITUTE(SUBSTITUTE(SUBSTITUTE(Z2927,"~","~~"),"*","~*"),"?","~?"),$Z$5:$Z$5004,0)=2923,MAX($AA$4:AA2926)+1,""))</f>
        <v/>
      </c>
    </row>
    <row r="2928" spans="1:27">
      <c r="A2928" s="9"/>
      <c r="Z2928">
        <f>TRIM(A2928&amp;"")</f>
        <v/>
      </c>
      <c r="AA2928">
        <f>IF(Z2928="","",IF(MATCH(SUBSTITUTE(SUBSTITUTE(SUBSTITUTE(Z2928,"~","~~"),"*","~*"),"?","~?"),$Z$5:$Z$5004,0)=2924,MAX($AA$4:AA2927)+1,""))</f>
        <v/>
      </c>
    </row>
    <row r="2929" spans="1:27">
      <c r="A2929" s="9"/>
      <c r="Z2929">
        <f>TRIM(A2929&amp;"")</f>
        <v/>
      </c>
      <c r="AA2929">
        <f>IF(Z2929="","",IF(MATCH(SUBSTITUTE(SUBSTITUTE(SUBSTITUTE(Z2929,"~","~~"),"*","~*"),"?","~?"),$Z$5:$Z$5004,0)=2925,MAX($AA$4:AA2928)+1,""))</f>
        <v/>
      </c>
    </row>
    <row r="2930" spans="1:27">
      <c r="A2930" s="9"/>
      <c r="Z2930">
        <f>TRIM(A2930&amp;"")</f>
        <v/>
      </c>
      <c r="AA2930">
        <f>IF(Z2930="","",IF(MATCH(SUBSTITUTE(SUBSTITUTE(SUBSTITUTE(Z2930,"~","~~"),"*","~*"),"?","~?"),$Z$5:$Z$5004,0)=2926,MAX($AA$4:AA2929)+1,""))</f>
        <v/>
      </c>
    </row>
    <row r="2931" spans="1:27">
      <c r="A2931" s="9"/>
      <c r="Z2931">
        <f>TRIM(A2931&amp;"")</f>
        <v/>
      </c>
      <c r="AA2931">
        <f>IF(Z2931="","",IF(MATCH(SUBSTITUTE(SUBSTITUTE(SUBSTITUTE(Z2931,"~","~~"),"*","~*"),"?","~?"),$Z$5:$Z$5004,0)=2927,MAX($AA$4:AA2930)+1,""))</f>
        <v/>
      </c>
    </row>
    <row r="2932" spans="1:27">
      <c r="A2932" s="9"/>
      <c r="Z2932">
        <f>TRIM(A2932&amp;"")</f>
        <v/>
      </c>
      <c r="AA2932">
        <f>IF(Z2932="","",IF(MATCH(SUBSTITUTE(SUBSTITUTE(SUBSTITUTE(Z2932,"~","~~"),"*","~*"),"?","~?"),$Z$5:$Z$5004,0)=2928,MAX($AA$4:AA2931)+1,""))</f>
        <v/>
      </c>
    </row>
    <row r="2933" spans="1:27">
      <c r="A2933" s="9"/>
      <c r="Z2933">
        <f>TRIM(A2933&amp;"")</f>
        <v/>
      </c>
      <c r="AA2933">
        <f>IF(Z2933="","",IF(MATCH(SUBSTITUTE(SUBSTITUTE(SUBSTITUTE(Z2933,"~","~~"),"*","~*"),"?","~?"),$Z$5:$Z$5004,0)=2929,MAX($AA$4:AA2932)+1,""))</f>
        <v/>
      </c>
    </row>
    <row r="2934" spans="1:27">
      <c r="A2934" s="9"/>
      <c r="Z2934">
        <f>TRIM(A2934&amp;"")</f>
        <v/>
      </c>
      <c r="AA2934">
        <f>IF(Z2934="","",IF(MATCH(SUBSTITUTE(SUBSTITUTE(SUBSTITUTE(Z2934,"~","~~"),"*","~*"),"?","~?"),$Z$5:$Z$5004,0)=2930,MAX($AA$4:AA2933)+1,""))</f>
        <v/>
      </c>
    </row>
    <row r="2935" spans="1:27">
      <c r="A2935" s="9"/>
      <c r="Z2935">
        <f>TRIM(A2935&amp;"")</f>
        <v/>
      </c>
      <c r="AA2935">
        <f>IF(Z2935="","",IF(MATCH(SUBSTITUTE(SUBSTITUTE(SUBSTITUTE(Z2935,"~","~~"),"*","~*"),"?","~?"),$Z$5:$Z$5004,0)=2931,MAX($AA$4:AA2934)+1,""))</f>
        <v/>
      </c>
    </row>
    <row r="2936" spans="1:27">
      <c r="A2936" s="9"/>
      <c r="Z2936">
        <f>TRIM(A2936&amp;"")</f>
        <v/>
      </c>
      <c r="AA2936">
        <f>IF(Z2936="","",IF(MATCH(SUBSTITUTE(SUBSTITUTE(SUBSTITUTE(Z2936,"~","~~"),"*","~*"),"?","~?"),$Z$5:$Z$5004,0)=2932,MAX($AA$4:AA2935)+1,""))</f>
        <v/>
      </c>
    </row>
    <row r="2937" spans="1:27">
      <c r="A2937" s="9"/>
      <c r="Z2937">
        <f>TRIM(A2937&amp;"")</f>
        <v/>
      </c>
      <c r="AA2937">
        <f>IF(Z2937="","",IF(MATCH(SUBSTITUTE(SUBSTITUTE(SUBSTITUTE(Z2937,"~","~~"),"*","~*"),"?","~?"),$Z$5:$Z$5004,0)=2933,MAX($AA$4:AA2936)+1,""))</f>
        <v/>
      </c>
    </row>
    <row r="2938" spans="1:27">
      <c r="A2938" s="9"/>
      <c r="Z2938">
        <f>TRIM(A2938&amp;"")</f>
        <v/>
      </c>
      <c r="AA2938">
        <f>IF(Z2938="","",IF(MATCH(SUBSTITUTE(SUBSTITUTE(SUBSTITUTE(Z2938,"~","~~"),"*","~*"),"?","~?"),$Z$5:$Z$5004,0)=2934,MAX($AA$4:AA2937)+1,""))</f>
        <v/>
      </c>
    </row>
    <row r="2939" spans="1:27">
      <c r="A2939" s="9"/>
      <c r="Z2939">
        <f>TRIM(A2939&amp;"")</f>
        <v/>
      </c>
      <c r="AA2939">
        <f>IF(Z2939="","",IF(MATCH(SUBSTITUTE(SUBSTITUTE(SUBSTITUTE(Z2939,"~","~~"),"*","~*"),"?","~?"),$Z$5:$Z$5004,0)=2935,MAX($AA$4:AA2938)+1,""))</f>
        <v/>
      </c>
    </row>
    <row r="2940" spans="1:27">
      <c r="A2940" s="9"/>
      <c r="Z2940">
        <f>TRIM(A2940&amp;"")</f>
        <v/>
      </c>
      <c r="AA2940">
        <f>IF(Z2940="","",IF(MATCH(SUBSTITUTE(SUBSTITUTE(SUBSTITUTE(Z2940,"~","~~"),"*","~*"),"?","~?"),$Z$5:$Z$5004,0)=2936,MAX($AA$4:AA2939)+1,""))</f>
        <v/>
      </c>
    </row>
    <row r="2941" spans="1:27">
      <c r="A2941" s="9"/>
      <c r="Z2941">
        <f>TRIM(A2941&amp;"")</f>
        <v/>
      </c>
      <c r="AA2941">
        <f>IF(Z2941="","",IF(MATCH(SUBSTITUTE(SUBSTITUTE(SUBSTITUTE(Z2941,"~","~~"),"*","~*"),"?","~?"),$Z$5:$Z$5004,0)=2937,MAX($AA$4:AA2940)+1,""))</f>
        <v/>
      </c>
    </row>
    <row r="2942" spans="1:27">
      <c r="A2942" s="9"/>
      <c r="Z2942">
        <f>TRIM(A2942&amp;"")</f>
        <v/>
      </c>
      <c r="AA2942">
        <f>IF(Z2942="","",IF(MATCH(SUBSTITUTE(SUBSTITUTE(SUBSTITUTE(Z2942,"~","~~"),"*","~*"),"?","~?"),$Z$5:$Z$5004,0)=2938,MAX($AA$4:AA2941)+1,""))</f>
        <v/>
      </c>
    </row>
    <row r="2943" spans="1:27">
      <c r="A2943" s="9"/>
      <c r="Z2943">
        <f>TRIM(A2943&amp;"")</f>
        <v/>
      </c>
      <c r="AA2943">
        <f>IF(Z2943="","",IF(MATCH(SUBSTITUTE(SUBSTITUTE(SUBSTITUTE(Z2943,"~","~~"),"*","~*"),"?","~?"),$Z$5:$Z$5004,0)=2939,MAX($AA$4:AA2942)+1,""))</f>
        <v/>
      </c>
    </row>
    <row r="2944" spans="1:27">
      <c r="A2944" s="9"/>
      <c r="Z2944">
        <f>TRIM(A2944&amp;"")</f>
        <v/>
      </c>
      <c r="AA2944">
        <f>IF(Z2944="","",IF(MATCH(SUBSTITUTE(SUBSTITUTE(SUBSTITUTE(Z2944,"~","~~"),"*","~*"),"?","~?"),$Z$5:$Z$5004,0)=2940,MAX($AA$4:AA2943)+1,""))</f>
        <v/>
      </c>
    </row>
    <row r="2945" spans="1:27">
      <c r="A2945" s="9"/>
      <c r="Z2945">
        <f>TRIM(A2945&amp;"")</f>
        <v/>
      </c>
      <c r="AA2945">
        <f>IF(Z2945="","",IF(MATCH(SUBSTITUTE(SUBSTITUTE(SUBSTITUTE(Z2945,"~","~~"),"*","~*"),"?","~?"),$Z$5:$Z$5004,0)=2941,MAX($AA$4:AA2944)+1,""))</f>
        <v/>
      </c>
    </row>
    <row r="2946" spans="1:27">
      <c r="A2946" s="9"/>
      <c r="Z2946">
        <f>TRIM(A2946&amp;"")</f>
        <v/>
      </c>
      <c r="AA2946">
        <f>IF(Z2946="","",IF(MATCH(SUBSTITUTE(SUBSTITUTE(SUBSTITUTE(Z2946,"~","~~"),"*","~*"),"?","~?"),$Z$5:$Z$5004,0)=2942,MAX($AA$4:AA2945)+1,""))</f>
        <v/>
      </c>
    </row>
    <row r="2947" spans="1:27">
      <c r="A2947" s="9"/>
      <c r="Z2947">
        <f>TRIM(A2947&amp;"")</f>
        <v/>
      </c>
      <c r="AA2947">
        <f>IF(Z2947="","",IF(MATCH(SUBSTITUTE(SUBSTITUTE(SUBSTITUTE(Z2947,"~","~~"),"*","~*"),"?","~?"),$Z$5:$Z$5004,0)=2943,MAX($AA$4:AA2946)+1,""))</f>
        <v/>
      </c>
    </row>
    <row r="2948" spans="1:27">
      <c r="A2948" s="9"/>
      <c r="Z2948">
        <f>TRIM(A2948&amp;"")</f>
        <v/>
      </c>
      <c r="AA2948">
        <f>IF(Z2948="","",IF(MATCH(SUBSTITUTE(SUBSTITUTE(SUBSTITUTE(Z2948,"~","~~"),"*","~*"),"?","~?"),$Z$5:$Z$5004,0)=2944,MAX($AA$4:AA2947)+1,""))</f>
        <v/>
      </c>
    </row>
    <row r="2949" spans="1:27">
      <c r="A2949" s="9"/>
      <c r="Z2949">
        <f>TRIM(A2949&amp;"")</f>
        <v/>
      </c>
      <c r="AA2949">
        <f>IF(Z2949="","",IF(MATCH(SUBSTITUTE(SUBSTITUTE(SUBSTITUTE(Z2949,"~","~~"),"*","~*"),"?","~?"),$Z$5:$Z$5004,0)=2945,MAX($AA$4:AA2948)+1,""))</f>
        <v/>
      </c>
    </row>
    <row r="2950" spans="1:27">
      <c r="A2950" s="9"/>
      <c r="Z2950">
        <f>TRIM(A2950&amp;"")</f>
        <v/>
      </c>
      <c r="AA2950">
        <f>IF(Z2950="","",IF(MATCH(SUBSTITUTE(SUBSTITUTE(SUBSTITUTE(Z2950,"~","~~"),"*","~*"),"?","~?"),$Z$5:$Z$5004,0)=2946,MAX($AA$4:AA2949)+1,""))</f>
        <v/>
      </c>
    </row>
    <row r="2951" spans="1:27">
      <c r="A2951" s="9"/>
      <c r="Z2951">
        <f>TRIM(A2951&amp;"")</f>
        <v/>
      </c>
      <c r="AA2951">
        <f>IF(Z2951="","",IF(MATCH(SUBSTITUTE(SUBSTITUTE(SUBSTITUTE(Z2951,"~","~~"),"*","~*"),"?","~?"),$Z$5:$Z$5004,0)=2947,MAX($AA$4:AA2950)+1,""))</f>
        <v/>
      </c>
    </row>
    <row r="2952" spans="1:27">
      <c r="A2952" s="9"/>
      <c r="Z2952">
        <f>TRIM(A2952&amp;"")</f>
        <v/>
      </c>
      <c r="AA2952">
        <f>IF(Z2952="","",IF(MATCH(SUBSTITUTE(SUBSTITUTE(SUBSTITUTE(Z2952,"~","~~"),"*","~*"),"?","~?"),$Z$5:$Z$5004,0)=2948,MAX($AA$4:AA2951)+1,""))</f>
        <v/>
      </c>
    </row>
    <row r="2953" spans="1:27">
      <c r="A2953" s="9"/>
      <c r="Z2953">
        <f>TRIM(A2953&amp;"")</f>
        <v/>
      </c>
      <c r="AA2953">
        <f>IF(Z2953="","",IF(MATCH(SUBSTITUTE(SUBSTITUTE(SUBSTITUTE(Z2953,"~","~~"),"*","~*"),"?","~?"),$Z$5:$Z$5004,0)=2949,MAX($AA$4:AA2952)+1,""))</f>
        <v/>
      </c>
    </row>
    <row r="2954" spans="1:27">
      <c r="A2954" s="9"/>
      <c r="Z2954">
        <f>TRIM(A2954&amp;"")</f>
        <v/>
      </c>
      <c r="AA2954">
        <f>IF(Z2954="","",IF(MATCH(SUBSTITUTE(SUBSTITUTE(SUBSTITUTE(Z2954,"~","~~"),"*","~*"),"?","~?"),$Z$5:$Z$5004,0)=2950,MAX($AA$4:AA2953)+1,""))</f>
        <v/>
      </c>
    </row>
    <row r="2955" spans="1:27">
      <c r="A2955" s="9"/>
      <c r="Z2955">
        <f>TRIM(A2955&amp;"")</f>
        <v/>
      </c>
      <c r="AA2955">
        <f>IF(Z2955="","",IF(MATCH(SUBSTITUTE(SUBSTITUTE(SUBSTITUTE(Z2955,"~","~~"),"*","~*"),"?","~?"),$Z$5:$Z$5004,0)=2951,MAX($AA$4:AA2954)+1,""))</f>
        <v/>
      </c>
    </row>
    <row r="2956" spans="1:27">
      <c r="A2956" s="9"/>
      <c r="Z2956">
        <f>TRIM(A2956&amp;"")</f>
        <v/>
      </c>
      <c r="AA2956">
        <f>IF(Z2956="","",IF(MATCH(SUBSTITUTE(SUBSTITUTE(SUBSTITUTE(Z2956,"~","~~"),"*","~*"),"?","~?"),$Z$5:$Z$5004,0)=2952,MAX($AA$4:AA2955)+1,""))</f>
        <v/>
      </c>
    </row>
    <row r="2957" spans="1:27">
      <c r="A2957" s="9"/>
      <c r="Z2957">
        <f>TRIM(A2957&amp;"")</f>
        <v/>
      </c>
      <c r="AA2957">
        <f>IF(Z2957="","",IF(MATCH(SUBSTITUTE(SUBSTITUTE(SUBSTITUTE(Z2957,"~","~~"),"*","~*"),"?","~?"),$Z$5:$Z$5004,0)=2953,MAX($AA$4:AA2956)+1,""))</f>
        <v/>
      </c>
    </row>
    <row r="2958" spans="1:27">
      <c r="A2958" s="9"/>
      <c r="Z2958">
        <f>TRIM(A2958&amp;"")</f>
        <v/>
      </c>
      <c r="AA2958">
        <f>IF(Z2958="","",IF(MATCH(SUBSTITUTE(SUBSTITUTE(SUBSTITUTE(Z2958,"~","~~"),"*","~*"),"?","~?"),$Z$5:$Z$5004,0)=2954,MAX($AA$4:AA2957)+1,""))</f>
        <v/>
      </c>
    </row>
    <row r="2959" spans="1:27">
      <c r="A2959" s="9"/>
      <c r="Z2959">
        <f>TRIM(A2959&amp;"")</f>
        <v/>
      </c>
      <c r="AA2959">
        <f>IF(Z2959="","",IF(MATCH(SUBSTITUTE(SUBSTITUTE(SUBSTITUTE(Z2959,"~","~~"),"*","~*"),"?","~?"),$Z$5:$Z$5004,0)=2955,MAX($AA$4:AA2958)+1,""))</f>
        <v/>
      </c>
    </row>
    <row r="2960" spans="1:27">
      <c r="A2960" s="9"/>
      <c r="Z2960">
        <f>TRIM(A2960&amp;"")</f>
        <v/>
      </c>
      <c r="AA2960">
        <f>IF(Z2960="","",IF(MATCH(SUBSTITUTE(SUBSTITUTE(SUBSTITUTE(Z2960,"~","~~"),"*","~*"),"?","~?"),$Z$5:$Z$5004,0)=2956,MAX($AA$4:AA2959)+1,""))</f>
        <v/>
      </c>
    </row>
    <row r="2961" spans="1:27">
      <c r="A2961" s="9"/>
      <c r="Z2961">
        <f>TRIM(A2961&amp;"")</f>
        <v/>
      </c>
      <c r="AA2961">
        <f>IF(Z2961="","",IF(MATCH(SUBSTITUTE(SUBSTITUTE(SUBSTITUTE(Z2961,"~","~~"),"*","~*"),"?","~?"),$Z$5:$Z$5004,0)=2957,MAX($AA$4:AA2960)+1,""))</f>
        <v/>
      </c>
    </row>
    <row r="2962" spans="1:27">
      <c r="A2962" s="9"/>
      <c r="Z2962">
        <f>TRIM(A2962&amp;"")</f>
        <v/>
      </c>
      <c r="AA2962">
        <f>IF(Z2962="","",IF(MATCH(SUBSTITUTE(SUBSTITUTE(SUBSTITUTE(Z2962,"~","~~"),"*","~*"),"?","~?"),$Z$5:$Z$5004,0)=2958,MAX($AA$4:AA2961)+1,""))</f>
        <v/>
      </c>
    </row>
    <row r="2963" spans="1:27">
      <c r="A2963" s="9"/>
      <c r="Z2963">
        <f>TRIM(A2963&amp;"")</f>
        <v/>
      </c>
      <c r="AA2963">
        <f>IF(Z2963="","",IF(MATCH(SUBSTITUTE(SUBSTITUTE(SUBSTITUTE(Z2963,"~","~~"),"*","~*"),"?","~?"),$Z$5:$Z$5004,0)=2959,MAX($AA$4:AA2962)+1,""))</f>
        <v/>
      </c>
    </row>
    <row r="2964" spans="1:27">
      <c r="A2964" s="9"/>
      <c r="Z2964">
        <f>TRIM(A2964&amp;"")</f>
        <v/>
      </c>
      <c r="AA2964">
        <f>IF(Z2964="","",IF(MATCH(SUBSTITUTE(SUBSTITUTE(SUBSTITUTE(Z2964,"~","~~"),"*","~*"),"?","~?"),$Z$5:$Z$5004,0)=2960,MAX($AA$4:AA2963)+1,""))</f>
        <v/>
      </c>
    </row>
    <row r="2965" spans="1:27">
      <c r="A2965" s="9"/>
      <c r="Z2965">
        <f>TRIM(A2965&amp;"")</f>
        <v/>
      </c>
      <c r="AA2965">
        <f>IF(Z2965="","",IF(MATCH(SUBSTITUTE(SUBSTITUTE(SUBSTITUTE(Z2965,"~","~~"),"*","~*"),"?","~?"),$Z$5:$Z$5004,0)=2961,MAX($AA$4:AA2964)+1,""))</f>
        <v/>
      </c>
    </row>
    <row r="2966" spans="1:27">
      <c r="A2966" s="9"/>
      <c r="Z2966">
        <f>TRIM(A2966&amp;"")</f>
        <v/>
      </c>
      <c r="AA2966">
        <f>IF(Z2966="","",IF(MATCH(SUBSTITUTE(SUBSTITUTE(SUBSTITUTE(Z2966,"~","~~"),"*","~*"),"?","~?"),$Z$5:$Z$5004,0)=2962,MAX($AA$4:AA2965)+1,""))</f>
        <v/>
      </c>
    </row>
    <row r="2967" spans="1:27">
      <c r="A2967" s="9"/>
      <c r="Z2967">
        <f>TRIM(A2967&amp;"")</f>
        <v/>
      </c>
      <c r="AA2967">
        <f>IF(Z2967="","",IF(MATCH(SUBSTITUTE(SUBSTITUTE(SUBSTITUTE(Z2967,"~","~~"),"*","~*"),"?","~?"),$Z$5:$Z$5004,0)=2963,MAX($AA$4:AA2966)+1,""))</f>
        <v/>
      </c>
    </row>
    <row r="2968" spans="1:27">
      <c r="A2968" s="9"/>
      <c r="Z2968">
        <f>TRIM(A2968&amp;"")</f>
        <v/>
      </c>
      <c r="AA2968">
        <f>IF(Z2968="","",IF(MATCH(SUBSTITUTE(SUBSTITUTE(SUBSTITUTE(Z2968,"~","~~"),"*","~*"),"?","~?"),$Z$5:$Z$5004,0)=2964,MAX($AA$4:AA2967)+1,""))</f>
        <v/>
      </c>
    </row>
    <row r="2969" spans="1:27">
      <c r="A2969" s="9"/>
      <c r="Z2969">
        <f>TRIM(A2969&amp;"")</f>
        <v/>
      </c>
      <c r="AA2969">
        <f>IF(Z2969="","",IF(MATCH(SUBSTITUTE(SUBSTITUTE(SUBSTITUTE(Z2969,"~","~~"),"*","~*"),"?","~?"),$Z$5:$Z$5004,0)=2965,MAX($AA$4:AA2968)+1,""))</f>
        <v/>
      </c>
    </row>
    <row r="2970" spans="1:27">
      <c r="A2970" s="9"/>
      <c r="Z2970">
        <f>TRIM(A2970&amp;"")</f>
        <v/>
      </c>
      <c r="AA2970">
        <f>IF(Z2970="","",IF(MATCH(SUBSTITUTE(SUBSTITUTE(SUBSTITUTE(Z2970,"~","~~"),"*","~*"),"?","~?"),$Z$5:$Z$5004,0)=2966,MAX($AA$4:AA2969)+1,""))</f>
        <v/>
      </c>
    </row>
    <row r="2971" spans="1:27">
      <c r="A2971" s="9"/>
      <c r="Z2971">
        <f>TRIM(A2971&amp;"")</f>
        <v/>
      </c>
      <c r="AA2971">
        <f>IF(Z2971="","",IF(MATCH(SUBSTITUTE(SUBSTITUTE(SUBSTITUTE(Z2971,"~","~~"),"*","~*"),"?","~?"),$Z$5:$Z$5004,0)=2967,MAX($AA$4:AA2970)+1,""))</f>
        <v/>
      </c>
    </row>
    <row r="2972" spans="1:27">
      <c r="A2972" s="9"/>
      <c r="Z2972">
        <f>TRIM(A2972&amp;"")</f>
        <v/>
      </c>
      <c r="AA2972">
        <f>IF(Z2972="","",IF(MATCH(SUBSTITUTE(SUBSTITUTE(SUBSTITUTE(Z2972,"~","~~"),"*","~*"),"?","~?"),$Z$5:$Z$5004,0)=2968,MAX($AA$4:AA2971)+1,""))</f>
        <v/>
      </c>
    </row>
    <row r="2973" spans="1:27">
      <c r="A2973" s="9"/>
      <c r="Z2973">
        <f>TRIM(A2973&amp;"")</f>
        <v/>
      </c>
      <c r="AA2973">
        <f>IF(Z2973="","",IF(MATCH(SUBSTITUTE(SUBSTITUTE(SUBSTITUTE(Z2973,"~","~~"),"*","~*"),"?","~?"),$Z$5:$Z$5004,0)=2969,MAX($AA$4:AA2972)+1,""))</f>
        <v/>
      </c>
    </row>
    <row r="2974" spans="1:27">
      <c r="A2974" s="9"/>
      <c r="Z2974">
        <f>TRIM(A2974&amp;"")</f>
        <v/>
      </c>
      <c r="AA2974">
        <f>IF(Z2974="","",IF(MATCH(SUBSTITUTE(SUBSTITUTE(SUBSTITUTE(Z2974,"~","~~"),"*","~*"),"?","~?"),$Z$5:$Z$5004,0)=2970,MAX($AA$4:AA2973)+1,""))</f>
        <v/>
      </c>
    </row>
    <row r="2975" spans="1:27">
      <c r="A2975" s="9"/>
      <c r="Z2975">
        <f>TRIM(A2975&amp;"")</f>
        <v/>
      </c>
      <c r="AA2975">
        <f>IF(Z2975="","",IF(MATCH(SUBSTITUTE(SUBSTITUTE(SUBSTITUTE(Z2975,"~","~~"),"*","~*"),"?","~?"),$Z$5:$Z$5004,0)=2971,MAX($AA$4:AA2974)+1,""))</f>
        <v/>
      </c>
    </row>
    <row r="2976" spans="1:27">
      <c r="A2976" s="9"/>
      <c r="Z2976">
        <f>TRIM(A2976&amp;"")</f>
        <v/>
      </c>
      <c r="AA2976">
        <f>IF(Z2976="","",IF(MATCH(SUBSTITUTE(SUBSTITUTE(SUBSTITUTE(Z2976,"~","~~"),"*","~*"),"?","~?"),$Z$5:$Z$5004,0)=2972,MAX($AA$4:AA2975)+1,""))</f>
        <v/>
      </c>
    </row>
    <row r="2977" spans="1:27">
      <c r="A2977" s="9"/>
      <c r="Z2977">
        <f>TRIM(A2977&amp;"")</f>
        <v/>
      </c>
      <c r="AA2977">
        <f>IF(Z2977="","",IF(MATCH(SUBSTITUTE(SUBSTITUTE(SUBSTITUTE(Z2977,"~","~~"),"*","~*"),"?","~?"),$Z$5:$Z$5004,0)=2973,MAX($AA$4:AA2976)+1,""))</f>
        <v/>
      </c>
    </row>
    <row r="2978" spans="1:27">
      <c r="A2978" s="9"/>
      <c r="Z2978">
        <f>TRIM(A2978&amp;"")</f>
        <v/>
      </c>
      <c r="AA2978">
        <f>IF(Z2978="","",IF(MATCH(SUBSTITUTE(SUBSTITUTE(SUBSTITUTE(Z2978,"~","~~"),"*","~*"),"?","~?"),$Z$5:$Z$5004,0)=2974,MAX($AA$4:AA2977)+1,""))</f>
        <v/>
      </c>
    </row>
    <row r="2979" spans="1:27">
      <c r="A2979" s="9"/>
      <c r="Z2979">
        <f>TRIM(A2979&amp;"")</f>
        <v/>
      </c>
      <c r="AA2979">
        <f>IF(Z2979="","",IF(MATCH(SUBSTITUTE(SUBSTITUTE(SUBSTITUTE(Z2979,"~","~~"),"*","~*"),"?","~?"),$Z$5:$Z$5004,0)=2975,MAX($AA$4:AA2978)+1,""))</f>
        <v/>
      </c>
    </row>
    <row r="2980" spans="1:27">
      <c r="A2980" s="9"/>
      <c r="Z2980">
        <f>TRIM(A2980&amp;"")</f>
        <v/>
      </c>
      <c r="AA2980">
        <f>IF(Z2980="","",IF(MATCH(SUBSTITUTE(SUBSTITUTE(SUBSTITUTE(Z2980,"~","~~"),"*","~*"),"?","~?"),$Z$5:$Z$5004,0)=2976,MAX($AA$4:AA2979)+1,""))</f>
        <v/>
      </c>
    </row>
    <row r="2981" spans="1:27">
      <c r="A2981" s="9"/>
      <c r="Z2981">
        <f>TRIM(A2981&amp;"")</f>
        <v/>
      </c>
      <c r="AA2981">
        <f>IF(Z2981="","",IF(MATCH(SUBSTITUTE(SUBSTITUTE(SUBSTITUTE(Z2981,"~","~~"),"*","~*"),"?","~?"),$Z$5:$Z$5004,0)=2977,MAX($AA$4:AA2980)+1,""))</f>
        <v/>
      </c>
    </row>
    <row r="2982" spans="1:27">
      <c r="A2982" s="9"/>
      <c r="Z2982">
        <f>TRIM(A2982&amp;"")</f>
        <v/>
      </c>
      <c r="AA2982">
        <f>IF(Z2982="","",IF(MATCH(SUBSTITUTE(SUBSTITUTE(SUBSTITUTE(Z2982,"~","~~"),"*","~*"),"?","~?"),$Z$5:$Z$5004,0)=2978,MAX($AA$4:AA2981)+1,""))</f>
        <v/>
      </c>
    </row>
    <row r="2983" spans="1:27">
      <c r="A2983" s="9"/>
      <c r="Z2983">
        <f>TRIM(A2983&amp;"")</f>
        <v/>
      </c>
      <c r="AA2983">
        <f>IF(Z2983="","",IF(MATCH(SUBSTITUTE(SUBSTITUTE(SUBSTITUTE(Z2983,"~","~~"),"*","~*"),"?","~?"),$Z$5:$Z$5004,0)=2979,MAX($AA$4:AA2982)+1,""))</f>
        <v/>
      </c>
    </row>
    <row r="2984" spans="1:27">
      <c r="A2984" s="9"/>
      <c r="Z2984">
        <f>TRIM(A2984&amp;"")</f>
        <v/>
      </c>
      <c r="AA2984">
        <f>IF(Z2984="","",IF(MATCH(SUBSTITUTE(SUBSTITUTE(SUBSTITUTE(Z2984,"~","~~"),"*","~*"),"?","~?"),$Z$5:$Z$5004,0)=2980,MAX($AA$4:AA2983)+1,""))</f>
        <v/>
      </c>
    </row>
    <row r="2985" spans="1:27">
      <c r="A2985" s="9"/>
      <c r="Z2985">
        <f>TRIM(A2985&amp;"")</f>
        <v/>
      </c>
      <c r="AA2985">
        <f>IF(Z2985="","",IF(MATCH(SUBSTITUTE(SUBSTITUTE(SUBSTITUTE(Z2985,"~","~~"),"*","~*"),"?","~?"),$Z$5:$Z$5004,0)=2981,MAX($AA$4:AA2984)+1,""))</f>
        <v/>
      </c>
    </row>
    <row r="2986" spans="1:27">
      <c r="A2986" s="9"/>
      <c r="Z2986">
        <f>TRIM(A2986&amp;"")</f>
        <v/>
      </c>
      <c r="AA2986">
        <f>IF(Z2986="","",IF(MATCH(SUBSTITUTE(SUBSTITUTE(SUBSTITUTE(Z2986,"~","~~"),"*","~*"),"?","~?"),$Z$5:$Z$5004,0)=2982,MAX($AA$4:AA2985)+1,""))</f>
        <v/>
      </c>
    </row>
    <row r="2987" spans="1:27">
      <c r="A2987" s="9"/>
      <c r="Z2987">
        <f>TRIM(A2987&amp;"")</f>
        <v/>
      </c>
      <c r="AA2987">
        <f>IF(Z2987="","",IF(MATCH(SUBSTITUTE(SUBSTITUTE(SUBSTITUTE(Z2987,"~","~~"),"*","~*"),"?","~?"),$Z$5:$Z$5004,0)=2983,MAX($AA$4:AA2986)+1,""))</f>
        <v/>
      </c>
    </row>
    <row r="2988" spans="1:27">
      <c r="A2988" s="9"/>
      <c r="Z2988">
        <f>TRIM(A2988&amp;"")</f>
        <v/>
      </c>
      <c r="AA2988">
        <f>IF(Z2988="","",IF(MATCH(SUBSTITUTE(SUBSTITUTE(SUBSTITUTE(Z2988,"~","~~"),"*","~*"),"?","~?"),$Z$5:$Z$5004,0)=2984,MAX($AA$4:AA2987)+1,""))</f>
        <v/>
      </c>
    </row>
    <row r="2989" spans="1:27">
      <c r="A2989" s="9"/>
      <c r="Z2989">
        <f>TRIM(A2989&amp;"")</f>
        <v/>
      </c>
      <c r="AA2989">
        <f>IF(Z2989="","",IF(MATCH(SUBSTITUTE(SUBSTITUTE(SUBSTITUTE(Z2989,"~","~~"),"*","~*"),"?","~?"),$Z$5:$Z$5004,0)=2985,MAX($AA$4:AA2988)+1,""))</f>
        <v/>
      </c>
    </row>
    <row r="2990" spans="1:27">
      <c r="A2990" s="9"/>
      <c r="Z2990">
        <f>TRIM(A2990&amp;"")</f>
        <v/>
      </c>
      <c r="AA2990">
        <f>IF(Z2990="","",IF(MATCH(SUBSTITUTE(SUBSTITUTE(SUBSTITUTE(Z2990,"~","~~"),"*","~*"),"?","~?"),$Z$5:$Z$5004,0)=2986,MAX($AA$4:AA2989)+1,""))</f>
        <v/>
      </c>
    </row>
    <row r="2991" spans="1:27">
      <c r="A2991" s="9"/>
      <c r="Z2991">
        <f>TRIM(A2991&amp;"")</f>
        <v/>
      </c>
      <c r="AA2991">
        <f>IF(Z2991="","",IF(MATCH(SUBSTITUTE(SUBSTITUTE(SUBSTITUTE(Z2991,"~","~~"),"*","~*"),"?","~?"),$Z$5:$Z$5004,0)=2987,MAX($AA$4:AA2990)+1,""))</f>
        <v/>
      </c>
    </row>
    <row r="2992" spans="1:27">
      <c r="A2992" s="9"/>
      <c r="Z2992">
        <f>TRIM(A2992&amp;"")</f>
        <v/>
      </c>
      <c r="AA2992">
        <f>IF(Z2992="","",IF(MATCH(SUBSTITUTE(SUBSTITUTE(SUBSTITUTE(Z2992,"~","~~"),"*","~*"),"?","~?"),$Z$5:$Z$5004,0)=2988,MAX($AA$4:AA2991)+1,""))</f>
        <v/>
      </c>
    </row>
    <row r="2993" spans="1:27">
      <c r="A2993" s="9"/>
      <c r="Z2993">
        <f>TRIM(A2993&amp;"")</f>
        <v/>
      </c>
      <c r="AA2993">
        <f>IF(Z2993="","",IF(MATCH(SUBSTITUTE(SUBSTITUTE(SUBSTITUTE(Z2993,"~","~~"),"*","~*"),"?","~?"),$Z$5:$Z$5004,0)=2989,MAX($AA$4:AA2992)+1,""))</f>
        <v/>
      </c>
    </row>
    <row r="2994" spans="1:27">
      <c r="A2994" s="9"/>
      <c r="Z2994">
        <f>TRIM(A2994&amp;"")</f>
        <v/>
      </c>
      <c r="AA2994">
        <f>IF(Z2994="","",IF(MATCH(SUBSTITUTE(SUBSTITUTE(SUBSTITUTE(Z2994,"~","~~"),"*","~*"),"?","~?"),$Z$5:$Z$5004,0)=2990,MAX($AA$4:AA2993)+1,""))</f>
        <v/>
      </c>
    </row>
    <row r="2995" spans="1:27">
      <c r="A2995" s="9"/>
      <c r="Z2995">
        <f>TRIM(A2995&amp;"")</f>
        <v/>
      </c>
      <c r="AA2995">
        <f>IF(Z2995="","",IF(MATCH(SUBSTITUTE(SUBSTITUTE(SUBSTITUTE(Z2995,"~","~~"),"*","~*"),"?","~?"),$Z$5:$Z$5004,0)=2991,MAX($AA$4:AA2994)+1,""))</f>
        <v/>
      </c>
    </row>
    <row r="2996" spans="1:27">
      <c r="A2996" s="9"/>
      <c r="Z2996">
        <f>TRIM(A2996&amp;"")</f>
        <v/>
      </c>
      <c r="AA2996">
        <f>IF(Z2996="","",IF(MATCH(SUBSTITUTE(SUBSTITUTE(SUBSTITUTE(Z2996,"~","~~"),"*","~*"),"?","~?"),$Z$5:$Z$5004,0)=2992,MAX($AA$4:AA2995)+1,""))</f>
        <v/>
      </c>
    </row>
    <row r="2997" spans="1:27">
      <c r="A2997" s="9"/>
      <c r="Z2997">
        <f>TRIM(A2997&amp;"")</f>
        <v/>
      </c>
      <c r="AA2997">
        <f>IF(Z2997="","",IF(MATCH(SUBSTITUTE(SUBSTITUTE(SUBSTITUTE(Z2997,"~","~~"),"*","~*"),"?","~?"),$Z$5:$Z$5004,0)=2993,MAX($AA$4:AA2996)+1,""))</f>
        <v/>
      </c>
    </row>
    <row r="2998" spans="1:27">
      <c r="A2998" s="9"/>
      <c r="Z2998">
        <f>TRIM(A2998&amp;"")</f>
        <v/>
      </c>
      <c r="AA2998">
        <f>IF(Z2998="","",IF(MATCH(SUBSTITUTE(SUBSTITUTE(SUBSTITUTE(Z2998,"~","~~"),"*","~*"),"?","~?"),$Z$5:$Z$5004,0)=2994,MAX($AA$4:AA2997)+1,""))</f>
        <v/>
      </c>
    </row>
    <row r="2999" spans="1:27">
      <c r="A2999" s="9"/>
      <c r="Z2999">
        <f>TRIM(A2999&amp;"")</f>
        <v/>
      </c>
      <c r="AA2999">
        <f>IF(Z2999="","",IF(MATCH(SUBSTITUTE(SUBSTITUTE(SUBSTITUTE(Z2999,"~","~~"),"*","~*"),"?","~?"),$Z$5:$Z$5004,0)=2995,MAX($AA$4:AA2998)+1,""))</f>
        <v/>
      </c>
    </row>
    <row r="3000" spans="1:27">
      <c r="A3000" s="9"/>
      <c r="Z3000">
        <f>TRIM(A3000&amp;"")</f>
        <v/>
      </c>
      <c r="AA3000">
        <f>IF(Z3000="","",IF(MATCH(SUBSTITUTE(SUBSTITUTE(SUBSTITUTE(Z3000,"~","~~"),"*","~*"),"?","~?"),$Z$5:$Z$5004,0)=2996,MAX($AA$4:AA2999)+1,""))</f>
        <v/>
      </c>
    </row>
    <row r="3001" spans="1:27">
      <c r="A3001" s="9"/>
      <c r="Z3001">
        <f>TRIM(A3001&amp;"")</f>
        <v/>
      </c>
      <c r="AA3001">
        <f>IF(Z3001="","",IF(MATCH(SUBSTITUTE(SUBSTITUTE(SUBSTITUTE(Z3001,"~","~~"),"*","~*"),"?","~?"),$Z$5:$Z$5004,0)=2997,MAX($AA$4:AA3000)+1,""))</f>
        <v/>
      </c>
    </row>
    <row r="3002" spans="1:27">
      <c r="A3002" s="9"/>
      <c r="Z3002">
        <f>TRIM(A3002&amp;"")</f>
        <v/>
      </c>
      <c r="AA3002">
        <f>IF(Z3002="","",IF(MATCH(SUBSTITUTE(SUBSTITUTE(SUBSTITUTE(Z3002,"~","~~"),"*","~*"),"?","~?"),$Z$5:$Z$5004,0)=2998,MAX($AA$4:AA3001)+1,""))</f>
        <v/>
      </c>
    </row>
    <row r="3003" spans="1:27">
      <c r="A3003" s="9"/>
      <c r="Z3003">
        <f>TRIM(A3003&amp;"")</f>
        <v/>
      </c>
      <c r="AA3003">
        <f>IF(Z3003="","",IF(MATCH(SUBSTITUTE(SUBSTITUTE(SUBSTITUTE(Z3003,"~","~~"),"*","~*"),"?","~?"),$Z$5:$Z$5004,0)=2999,MAX($AA$4:AA3002)+1,""))</f>
        <v/>
      </c>
    </row>
    <row r="3004" spans="1:27">
      <c r="A3004" s="9"/>
      <c r="Z3004">
        <f>TRIM(A3004&amp;"")</f>
        <v/>
      </c>
      <c r="AA3004">
        <f>IF(Z3004="","",IF(MATCH(SUBSTITUTE(SUBSTITUTE(SUBSTITUTE(Z3004,"~","~~"),"*","~*"),"?","~?"),$Z$5:$Z$5004,0)=3000,MAX($AA$4:AA3003)+1,""))</f>
        <v/>
      </c>
    </row>
    <row r="3005" spans="1:27">
      <c r="A3005" s="9"/>
      <c r="Z3005">
        <f>TRIM(A3005&amp;"")</f>
        <v/>
      </c>
      <c r="AA3005">
        <f>IF(Z3005="","",IF(MATCH(SUBSTITUTE(SUBSTITUTE(SUBSTITUTE(Z3005,"~","~~"),"*","~*"),"?","~?"),$Z$5:$Z$5004,0)=3001,MAX($AA$4:AA3004)+1,""))</f>
        <v/>
      </c>
    </row>
    <row r="3006" spans="1:27">
      <c r="A3006" s="9"/>
      <c r="Z3006">
        <f>TRIM(A3006&amp;"")</f>
        <v/>
      </c>
      <c r="AA3006">
        <f>IF(Z3006="","",IF(MATCH(SUBSTITUTE(SUBSTITUTE(SUBSTITUTE(Z3006,"~","~~"),"*","~*"),"?","~?"),$Z$5:$Z$5004,0)=3002,MAX($AA$4:AA3005)+1,""))</f>
        <v/>
      </c>
    </row>
    <row r="3007" spans="1:27">
      <c r="A3007" s="9"/>
      <c r="Z3007">
        <f>TRIM(A3007&amp;"")</f>
        <v/>
      </c>
      <c r="AA3007">
        <f>IF(Z3007="","",IF(MATCH(SUBSTITUTE(SUBSTITUTE(SUBSTITUTE(Z3007,"~","~~"),"*","~*"),"?","~?"),$Z$5:$Z$5004,0)=3003,MAX($AA$4:AA3006)+1,""))</f>
        <v/>
      </c>
    </row>
    <row r="3008" spans="1:27">
      <c r="A3008" s="9"/>
      <c r="Z3008">
        <f>TRIM(A3008&amp;"")</f>
        <v/>
      </c>
      <c r="AA3008">
        <f>IF(Z3008="","",IF(MATCH(SUBSTITUTE(SUBSTITUTE(SUBSTITUTE(Z3008,"~","~~"),"*","~*"),"?","~?"),$Z$5:$Z$5004,0)=3004,MAX($AA$4:AA3007)+1,""))</f>
        <v/>
      </c>
    </row>
    <row r="3009" spans="1:27">
      <c r="A3009" s="9"/>
      <c r="Z3009">
        <f>TRIM(A3009&amp;"")</f>
        <v/>
      </c>
      <c r="AA3009">
        <f>IF(Z3009="","",IF(MATCH(SUBSTITUTE(SUBSTITUTE(SUBSTITUTE(Z3009,"~","~~"),"*","~*"),"?","~?"),$Z$5:$Z$5004,0)=3005,MAX($AA$4:AA3008)+1,""))</f>
        <v/>
      </c>
    </row>
    <row r="3010" spans="1:27">
      <c r="A3010" s="9"/>
      <c r="Z3010">
        <f>TRIM(A3010&amp;"")</f>
        <v/>
      </c>
      <c r="AA3010">
        <f>IF(Z3010="","",IF(MATCH(SUBSTITUTE(SUBSTITUTE(SUBSTITUTE(Z3010,"~","~~"),"*","~*"),"?","~?"),$Z$5:$Z$5004,0)=3006,MAX($AA$4:AA3009)+1,""))</f>
        <v/>
      </c>
    </row>
    <row r="3011" spans="1:27">
      <c r="A3011" s="9"/>
      <c r="Z3011">
        <f>TRIM(A3011&amp;"")</f>
        <v/>
      </c>
      <c r="AA3011">
        <f>IF(Z3011="","",IF(MATCH(SUBSTITUTE(SUBSTITUTE(SUBSTITUTE(Z3011,"~","~~"),"*","~*"),"?","~?"),$Z$5:$Z$5004,0)=3007,MAX($AA$4:AA3010)+1,""))</f>
        <v/>
      </c>
    </row>
    <row r="3012" spans="1:27">
      <c r="A3012" s="9"/>
      <c r="Z3012">
        <f>TRIM(A3012&amp;"")</f>
        <v/>
      </c>
      <c r="AA3012">
        <f>IF(Z3012="","",IF(MATCH(SUBSTITUTE(SUBSTITUTE(SUBSTITUTE(Z3012,"~","~~"),"*","~*"),"?","~?"),$Z$5:$Z$5004,0)=3008,MAX($AA$4:AA3011)+1,""))</f>
        <v/>
      </c>
    </row>
    <row r="3013" spans="1:27">
      <c r="A3013" s="9"/>
      <c r="Z3013">
        <f>TRIM(A3013&amp;"")</f>
        <v/>
      </c>
      <c r="AA3013">
        <f>IF(Z3013="","",IF(MATCH(SUBSTITUTE(SUBSTITUTE(SUBSTITUTE(Z3013,"~","~~"),"*","~*"),"?","~?"),$Z$5:$Z$5004,0)=3009,MAX($AA$4:AA3012)+1,""))</f>
        <v/>
      </c>
    </row>
    <row r="3014" spans="1:27">
      <c r="A3014" s="9"/>
      <c r="Z3014">
        <f>TRIM(A3014&amp;"")</f>
        <v/>
      </c>
      <c r="AA3014">
        <f>IF(Z3014="","",IF(MATCH(SUBSTITUTE(SUBSTITUTE(SUBSTITUTE(Z3014,"~","~~"),"*","~*"),"?","~?"),$Z$5:$Z$5004,0)=3010,MAX($AA$4:AA3013)+1,""))</f>
        <v/>
      </c>
    </row>
    <row r="3015" spans="1:27">
      <c r="A3015" s="9"/>
      <c r="Z3015">
        <f>TRIM(A3015&amp;"")</f>
        <v/>
      </c>
      <c r="AA3015">
        <f>IF(Z3015="","",IF(MATCH(SUBSTITUTE(SUBSTITUTE(SUBSTITUTE(Z3015,"~","~~"),"*","~*"),"?","~?"),$Z$5:$Z$5004,0)=3011,MAX($AA$4:AA3014)+1,""))</f>
        <v/>
      </c>
    </row>
    <row r="3016" spans="1:27">
      <c r="A3016" s="9"/>
      <c r="Z3016">
        <f>TRIM(A3016&amp;"")</f>
        <v/>
      </c>
      <c r="AA3016">
        <f>IF(Z3016="","",IF(MATCH(SUBSTITUTE(SUBSTITUTE(SUBSTITUTE(Z3016,"~","~~"),"*","~*"),"?","~?"),$Z$5:$Z$5004,0)=3012,MAX($AA$4:AA3015)+1,""))</f>
        <v/>
      </c>
    </row>
    <row r="3017" spans="1:27">
      <c r="A3017" s="9"/>
      <c r="Z3017">
        <f>TRIM(A3017&amp;"")</f>
        <v/>
      </c>
      <c r="AA3017">
        <f>IF(Z3017="","",IF(MATCH(SUBSTITUTE(SUBSTITUTE(SUBSTITUTE(Z3017,"~","~~"),"*","~*"),"?","~?"),$Z$5:$Z$5004,0)=3013,MAX($AA$4:AA3016)+1,""))</f>
        <v/>
      </c>
    </row>
    <row r="3018" spans="1:27">
      <c r="A3018" s="9"/>
      <c r="Z3018">
        <f>TRIM(A3018&amp;"")</f>
        <v/>
      </c>
      <c r="AA3018">
        <f>IF(Z3018="","",IF(MATCH(SUBSTITUTE(SUBSTITUTE(SUBSTITUTE(Z3018,"~","~~"),"*","~*"),"?","~?"),$Z$5:$Z$5004,0)=3014,MAX($AA$4:AA3017)+1,""))</f>
        <v/>
      </c>
    </row>
    <row r="3019" spans="1:27">
      <c r="A3019" s="9"/>
      <c r="Z3019">
        <f>TRIM(A3019&amp;"")</f>
        <v/>
      </c>
      <c r="AA3019">
        <f>IF(Z3019="","",IF(MATCH(SUBSTITUTE(SUBSTITUTE(SUBSTITUTE(Z3019,"~","~~"),"*","~*"),"?","~?"),$Z$5:$Z$5004,0)=3015,MAX($AA$4:AA3018)+1,""))</f>
        <v/>
      </c>
    </row>
    <row r="3020" spans="1:27">
      <c r="A3020" s="9"/>
      <c r="Z3020">
        <f>TRIM(A3020&amp;"")</f>
        <v/>
      </c>
      <c r="AA3020">
        <f>IF(Z3020="","",IF(MATCH(SUBSTITUTE(SUBSTITUTE(SUBSTITUTE(Z3020,"~","~~"),"*","~*"),"?","~?"),$Z$5:$Z$5004,0)=3016,MAX($AA$4:AA3019)+1,""))</f>
        <v/>
      </c>
    </row>
    <row r="3021" spans="1:27">
      <c r="A3021" s="9"/>
      <c r="Z3021">
        <f>TRIM(A3021&amp;"")</f>
        <v/>
      </c>
      <c r="AA3021">
        <f>IF(Z3021="","",IF(MATCH(SUBSTITUTE(SUBSTITUTE(SUBSTITUTE(Z3021,"~","~~"),"*","~*"),"?","~?"),$Z$5:$Z$5004,0)=3017,MAX($AA$4:AA3020)+1,""))</f>
        <v/>
      </c>
    </row>
    <row r="3022" spans="1:27">
      <c r="A3022" s="9"/>
      <c r="Z3022">
        <f>TRIM(A3022&amp;"")</f>
        <v/>
      </c>
      <c r="AA3022">
        <f>IF(Z3022="","",IF(MATCH(SUBSTITUTE(SUBSTITUTE(SUBSTITUTE(Z3022,"~","~~"),"*","~*"),"?","~?"),$Z$5:$Z$5004,0)=3018,MAX($AA$4:AA3021)+1,""))</f>
        <v/>
      </c>
    </row>
    <row r="3023" spans="1:27">
      <c r="A3023" s="9"/>
      <c r="Z3023">
        <f>TRIM(A3023&amp;"")</f>
        <v/>
      </c>
      <c r="AA3023">
        <f>IF(Z3023="","",IF(MATCH(SUBSTITUTE(SUBSTITUTE(SUBSTITUTE(Z3023,"~","~~"),"*","~*"),"?","~?"),$Z$5:$Z$5004,0)=3019,MAX($AA$4:AA3022)+1,""))</f>
        <v/>
      </c>
    </row>
    <row r="3024" spans="1:27">
      <c r="A3024" s="9"/>
      <c r="Z3024">
        <f>TRIM(A3024&amp;"")</f>
        <v/>
      </c>
      <c r="AA3024">
        <f>IF(Z3024="","",IF(MATCH(SUBSTITUTE(SUBSTITUTE(SUBSTITUTE(Z3024,"~","~~"),"*","~*"),"?","~?"),$Z$5:$Z$5004,0)=3020,MAX($AA$4:AA3023)+1,""))</f>
        <v/>
      </c>
    </row>
    <row r="3025" spans="1:27">
      <c r="A3025" s="9"/>
      <c r="Z3025">
        <f>TRIM(A3025&amp;"")</f>
        <v/>
      </c>
      <c r="AA3025">
        <f>IF(Z3025="","",IF(MATCH(SUBSTITUTE(SUBSTITUTE(SUBSTITUTE(Z3025,"~","~~"),"*","~*"),"?","~?"),$Z$5:$Z$5004,0)=3021,MAX($AA$4:AA3024)+1,""))</f>
        <v/>
      </c>
    </row>
    <row r="3026" spans="1:27">
      <c r="A3026" s="9"/>
      <c r="Z3026">
        <f>TRIM(A3026&amp;"")</f>
        <v/>
      </c>
      <c r="AA3026">
        <f>IF(Z3026="","",IF(MATCH(SUBSTITUTE(SUBSTITUTE(SUBSTITUTE(Z3026,"~","~~"),"*","~*"),"?","~?"),$Z$5:$Z$5004,0)=3022,MAX($AA$4:AA3025)+1,""))</f>
        <v/>
      </c>
    </row>
    <row r="3027" spans="1:27">
      <c r="A3027" s="9"/>
      <c r="Z3027">
        <f>TRIM(A3027&amp;"")</f>
        <v/>
      </c>
      <c r="AA3027">
        <f>IF(Z3027="","",IF(MATCH(SUBSTITUTE(SUBSTITUTE(SUBSTITUTE(Z3027,"~","~~"),"*","~*"),"?","~?"),$Z$5:$Z$5004,0)=3023,MAX($AA$4:AA3026)+1,""))</f>
        <v/>
      </c>
    </row>
    <row r="3028" spans="1:27">
      <c r="A3028" s="9"/>
      <c r="Z3028">
        <f>TRIM(A3028&amp;"")</f>
        <v/>
      </c>
      <c r="AA3028">
        <f>IF(Z3028="","",IF(MATCH(SUBSTITUTE(SUBSTITUTE(SUBSTITUTE(Z3028,"~","~~"),"*","~*"),"?","~?"),$Z$5:$Z$5004,0)=3024,MAX($AA$4:AA3027)+1,""))</f>
        <v/>
      </c>
    </row>
    <row r="3029" spans="1:27">
      <c r="A3029" s="9"/>
      <c r="Z3029">
        <f>TRIM(A3029&amp;"")</f>
        <v/>
      </c>
      <c r="AA3029">
        <f>IF(Z3029="","",IF(MATCH(SUBSTITUTE(SUBSTITUTE(SUBSTITUTE(Z3029,"~","~~"),"*","~*"),"?","~?"),$Z$5:$Z$5004,0)=3025,MAX($AA$4:AA3028)+1,""))</f>
        <v/>
      </c>
    </row>
    <row r="3030" spans="1:27">
      <c r="A3030" s="9"/>
      <c r="Z3030">
        <f>TRIM(A3030&amp;"")</f>
        <v/>
      </c>
      <c r="AA3030">
        <f>IF(Z3030="","",IF(MATCH(SUBSTITUTE(SUBSTITUTE(SUBSTITUTE(Z3030,"~","~~"),"*","~*"),"?","~?"),$Z$5:$Z$5004,0)=3026,MAX($AA$4:AA3029)+1,""))</f>
        <v/>
      </c>
    </row>
    <row r="3031" spans="1:27">
      <c r="A3031" s="9"/>
      <c r="Z3031">
        <f>TRIM(A3031&amp;"")</f>
        <v/>
      </c>
      <c r="AA3031">
        <f>IF(Z3031="","",IF(MATCH(SUBSTITUTE(SUBSTITUTE(SUBSTITUTE(Z3031,"~","~~"),"*","~*"),"?","~?"),$Z$5:$Z$5004,0)=3027,MAX($AA$4:AA3030)+1,""))</f>
        <v/>
      </c>
    </row>
    <row r="3032" spans="1:27">
      <c r="A3032" s="9"/>
      <c r="Z3032">
        <f>TRIM(A3032&amp;"")</f>
        <v/>
      </c>
      <c r="AA3032">
        <f>IF(Z3032="","",IF(MATCH(SUBSTITUTE(SUBSTITUTE(SUBSTITUTE(Z3032,"~","~~"),"*","~*"),"?","~?"),$Z$5:$Z$5004,0)=3028,MAX($AA$4:AA3031)+1,""))</f>
        <v/>
      </c>
    </row>
    <row r="3033" spans="1:27">
      <c r="A3033" s="9"/>
      <c r="Z3033">
        <f>TRIM(A3033&amp;"")</f>
        <v/>
      </c>
      <c r="AA3033">
        <f>IF(Z3033="","",IF(MATCH(SUBSTITUTE(SUBSTITUTE(SUBSTITUTE(Z3033,"~","~~"),"*","~*"),"?","~?"),$Z$5:$Z$5004,0)=3029,MAX($AA$4:AA3032)+1,""))</f>
        <v/>
      </c>
    </row>
    <row r="3034" spans="1:27">
      <c r="A3034" s="9"/>
      <c r="Z3034">
        <f>TRIM(A3034&amp;"")</f>
        <v/>
      </c>
      <c r="AA3034">
        <f>IF(Z3034="","",IF(MATCH(SUBSTITUTE(SUBSTITUTE(SUBSTITUTE(Z3034,"~","~~"),"*","~*"),"?","~?"),$Z$5:$Z$5004,0)=3030,MAX($AA$4:AA3033)+1,""))</f>
        <v/>
      </c>
    </row>
    <row r="3035" spans="1:27">
      <c r="A3035" s="9"/>
      <c r="Z3035">
        <f>TRIM(A3035&amp;"")</f>
        <v/>
      </c>
      <c r="AA3035">
        <f>IF(Z3035="","",IF(MATCH(SUBSTITUTE(SUBSTITUTE(SUBSTITUTE(Z3035,"~","~~"),"*","~*"),"?","~?"),$Z$5:$Z$5004,0)=3031,MAX($AA$4:AA3034)+1,""))</f>
        <v/>
      </c>
    </row>
    <row r="3036" spans="1:27">
      <c r="A3036" s="9"/>
      <c r="Z3036">
        <f>TRIM(A3036&amp;"")</f>
        <v/>
      </c>
      <c r="AA3036">
        <f>IF(Z3036="","",IF(MATCH(SUBSTITUTE(SUBSTITUTE(SUBSTITUTE(Z3036,"~","~~"),"*","~*"),"?","~?"),$Z$5:$Z$5004,0)=3032,MAX($AA$4:AA3035)+1,""))</f>
        <v/>
      </c>
    </row>
    <row r="3037" spans="1:27">
      <c r="A3037" s="9"/>
      <c r="Z3037">
        <f>TRIM(A3037&amp;"")</f>
        <v/>
      </c>
      <c r="AA3037">
        <f>IF(Z3037="","",IF(MATCH(SUBSTITUTE(SUBSTITUTE(SUBSTITUTE(Z3037,"~","~~"),"*","~*"),"?","~?"),$Z$5:$Z$5004,0)=3033,MAX($AA$4:AA3036)+1,""))</f>
        <v/>
      </c>
    </row>
    <row r="3038" spans="1:27">
      <c r="A3038" s="9"/>
      <c r="Z3038">
        <f>TRIM(A3038&amp;"")</f>
        <v/>
      </c>
      <c r="AA3038">
        <f>IF(Z3038="","",IF(MATCH(SUBSTITUTE(SUBSTITUTE(SUBSTITUTE(Z3038,"~","~~"),"*","~*"),"?","~?"),$Z$5:$Z$5004,0)=3034,MAX($AA$4:AA3037)+1,""))</f>
        <v/>
      </c>
    </row>
    <row r="3039" spans="1:27">
      <c r="A3039" s="9"/>
      <c r="Z3039">
        <f>TRIM(A3039&amp;"")</f>
        <v/>
      </c>
      <c r="AA3039">
        <f>IF(Z3039="","",IF(MATCH(SUBSTITUTE(SUBSTITUTE(SUBSTITUTE(Z3039,"~","~~"),"*","~*"),"?","~?"),$Z$5:$Z$5004,0)=3035,MAX($AA$4:AA3038)+1,""))</f>
        <v/>
      </c>
    </row>
    <row r="3040" spans="1:27">
      <c r="A3040" s="9"/>
      <c r="Z3040">
        <f>TRIM(A3040&amp;"")</f>
        <v/>
      </c>
      <c r="AA3040">
        <f>IF(Z3040="","",IF(MATCH(SUBSTITUTE(SUBSTITUTE(SUBSTITUTE(Z3040,"~","~~"),"*","~*"),"?","~?"),$Z$5:$Z$5004,0)=3036,MAX($AA$4:AA3039)+1,""))</f>
        <v/>
      </c>
    </row>
    <row r="3041" spans="1:27">
      <c r="A3041" s="9"/>
      <c r="Z3041">
        <f>TRIM(A3041&amp;"")</f>
        <v/>
      </c>
      <c r="AA3041">
        <f>IF(Z3041="","",IF(MATCH(SUBSTITUTE(SUBSTITUTE(SUBSTITUTE(Z3041,"~","~~"),"*","~*"),"?","~?"),$Z$5:$Z$5004,0)=3037,MAX($AA$4:AA3040)+1,""))</f>
        <v/>
      </c>
    </row>
    <row r="3042" spans="1:27">
      <c r="A3042" s="9"/>
      <c r="Z3042">
        <f>TRIM(A3042&amp;"")</f>
        <v/>
      </c>
      <c r="AA3042">
        <f>IF(Z3042="","",IF(MATCH(SUBSTITUTE(SUBSTITUTE(SUBSTITUTE(Z3042,"~","~~"),"*","~*"),"?","~?"),$Z$5:$Z$5004,0)=3038,MAX($AA$4:AA3041)+1,""))</f>
        <v/>
      </c>
    </row>
    <row r="3043" spans="1:27">
      <c r="A3043" s="9"/>
      <c r="Z3043">
        <f>TRIM(A3043&amp;"")</f>
        <v/>
      </c>
      <c r="AA3043">
        <f>IF(Z3043="","",IF(MATCH(SUBSTITUTE(SUBSTITUTE(SUBSTITUTE(Z3043,"~","~~"),"*","~*"),"?","~?"),$Z$5:$Z$5004,0)=3039,MAX($AA$4:AA3042)+1,""))</f>
        <v/>
      </c>
    </row>
    <row r="3044" spans="1:27">
      <c r="A3044" s="9"/>
      <c r="Z3044">
        <f>TRIM(A3044&amp;"")</f>
        <v/>
      </c>
      <c r="AA3044">
        <f>IF(Z3044="","",IF(MATCH(SUBSTITUTE(SUBSTITUTE(SUBSTITUTE(Z3044,"~","~~"),"*","~*"),"?","~?"),$Z$5:$Z$5004,0)=3040,MAX($AA$4:AA3043)+1,""))</f>
        <v/>
      </c>
    </row>
    <row r="3045" spans="1:27">
      <c r="A3045" s="9"/>
      <c r="Z3045">
        <f>TRIM(A3045&amp;"")</f>
        <v/>
      </c>
      <c r="AA3045">
        <f>IF(Z3045="","",IF(MATCH(SUBSTITUTE(SUBSTITUTE(SUBSTITUTE(Z3045,"~","~~"),"*","~*"),"?","~?"),$Z$5:$Z$5004,0)=3041,MAX($AA$4:AA3044)+1,""))</f>
        <v/>
      </c>
    </row>
    <row r="3046" spans="1:27">
      <c r="A3046" s="9"/>
      <c r="Z3046">
        <f>TRIM(A3046&amp;"")</f>
        <v/>
      </c>
      <c r="AA3046">
        <f>IF(Z3046="","",IF(MATCH(SUBSTITUTE(SUBSTITUTE(SUBSTITUTE(Z3046,"~","~~"),"*","~*"),"?","~?"),$Z$5:$Z$5004,0)=3042,MAX($AA$4:AA3045)+1,""))</f>
        <v/>
      </c>
    </row>
    <row r="3047" spans="1:27">
      <c r="A3047" s="9"/>
      <c r="Z3047">
        <f>TRIM(A3047&amp;"")</f>
        <v/>
      </c>
      <c r="AA3047">
        <f>IF(Z3047="","",IF(MATCH(SUBSTITUTE(SUBSTITUTE(SUBSTITUTE(Z3047,"~","~~"),"*","~*"),"?","~?"),$Z$5:$Z$5004,0)=3043,MAX($AA$4:AA3046)+1,""))</f>
        <v/>
      </c>
    </row>
    <row r="3048" spans="1:27">
      <c r="A3048" s="9"/>
      <c r="Z3048">
        <f>TRIM(A3048&amp;"")</f>
        <v/>
      </c>
      <c r="AA3048">
        <f>IF(Z3048="","",IF(MATCH(SUBSTITUTE(SUBSTITUTE(SUBSTITUTE(Z3048,"~","~~"),"*","~*"),"?","~?"),$Z$5:$Z$5004,0)=3044,MAX($AA$4:AA3047)+1,""))</f>
        <v/>
      </c>
    </row>
    <row r="3049" spans="1:27">
      <c r="A3049" s="9"/>
      <c r="Z3049">
        <f>TRIM(A3049&amp;"")</f>
        <v/>
      </c>
      <c r="AA3049">
        <f>IF(Z3049="","",IF(MATCH(SUBSTITUTE(SUBSTITUTE(SUBSTITUTE(Z3049,"~","~~"),"*","~*"),"?","~?"),$Z$5:$Z$5004,0)=3045,MAX($AA$4:AA3048)+1,""))</f>
        <v/>
      </c>
    </row>
    <row r="3050" spans="1:27">
      <c r="A3050" s="9"/>
      <c r="Z3050">
        <f>TRIM(A3050&amp;"")</f>
        <v/>
      </c>
      <c r="AA3050">
        <f>IF(Z3050="","",IF(MATCH(SUBSTITUTE(SUBSTITUTE(SUBSTITUTE(Z3050,"~","~~"),"*","~*"),"?","~?"),$Z$5:$Z$5004,0)=3046,MAX($AA$4:AA3049)+1,""))</f>
        <v/>
      </c>
    </row>
    <row r="3051" spans="1:27">
      <c r="A3051" s="9"/>
      <c r="Z3051">
        <f>TRIM(A3051&amp;"")</f>
        <v/>
      </c>
      <c r="AA3051">
        <f>IF(Z3051="","",IF(MATCH(SUBSTITUTE(SUBSTITUTE(SUBSTITUTE(Z3051,"~","~~"),"*","~*"),"?","~?"),$Z$5:$Z$5004,0)=3047,MAX($AA$4:AA3050)+1,""))</f>
        <v/>
      </c>
    </row>
    <row r="3052" spans="1:27">
      <c r="A3052" s="9"/>
      <c r="Z3052">
        <f>TRIM(A3052&amp;"")</f>
        <v/>
      </c>
      <c r="AA3052">
        <f>IF(Z3052="","",IF(MATCH(SUBSTITUTE(SUBSTITUTE(SUBSTITUTE(Z3052,"~","~~"),"*","~*"),"?","~?"),$Z$5:$Z$5004,0)=3048,MAX($AA$4:AA3051)+1,""))</f>
        <v/>
      </c>
    </row>
    <row r="3053" spans="1:27">
      <c r="A3053" s="9"/>
      <c r="Z3053">
        <f>TRIM(A3053&amp;"")</f>
        <v/>
      </c>
      <c r="AA3053">
        <f>IF(Z3053="","",IF(MATCH(SUBSTITUTE(SUBSTITUTE(SUBSTITUTE(Z3053,"~","~~"),"*","~*"),"?","~?"),$Z$5:$Z$5004,0)=3049,MAX($AA$4:AA3052)+1,""))</f>
        <v/>
      </c>
    </row>
    <row r="3054" spans="1:27">
      <c r="A3054" s="9"/>
      <c r="Z3054">
        <f>TRIM(A3054&amp;"")</f>
        <v/>
      </c>
      <c r="AA3054">
        <f>IF(Z3054="","",IF(MATCH(SUBSTITUTE(SUBSTITUTE(SUBSTITUTE(Z3054,"~","~~"),"*","~*"),"?","~?"),$Z$5:$Z$5004,0)=3050,MAX($AA$4:AA3053)+1,""))</f>
        <v/>
      </c>
    </row>
    <row r="3055" spans="1:27">
      <c r="A3055" s="9"/>
      <c r="Z3055">
        <f>TRIM(A3055&amp;"")</f>
        <v/>
      </c>
      <c r="AA3055">
        <f>IF(Z3055="","",IF(MATCH(SUBSTITUTE(SUBSTITUTE(SUBSTITUTE(Z3055,"~","~~"),"*","~*"),"?","~?"),$Z$5:$Z$5004,0)=3051,MAX($AA$4:AA3054)+1,""))</f>
        <v/>
      </c>
    </row>
    <row r="3056" spans="1:27">
      <c r="A3056" s="9"/>
      <c r="Z3056">
        <f>TRIM(A3056&amp;"")</f>
        <v/>
      </c>
      <c r="AA3056">
        <f>IF(Z3056="","",IF(MATCH(SUBSTITUTE(SUBSTITUTE(SUBSTITUTE(Z3056,"~","~~"),"*","~*"),"?","~?"),$Z$5:$Z$5004,0)=3052,MAX($AA$4:AA3055)+1,""))</f>
        <v/>
      </c>
    </row>
    <row r="3057" spans="1:27">
      <c r="A3057" s="9"/>
      <c r="Z3057">
        <f>TRIM(A3057&amp;"")</f>
        <v/>
      </c>
      <c r="AA3057">
        <f>IF(Z3057="","",IF(MATCH(SUBSTITUTE(SUBSTITUTE(SUBSTITUTE(Z3057,"~","~~"),"*","~*"),"?","~?"),$Z$5:$Z$5004,0)=3053,MAX($AA$4:AA3056)+1,""))</f>
        <v/>
      </c>
    </row>
    <row r="3058" spans="1:27">
      <c r="A3058" s="9"/>
      <c r="Z3058">
        <f>TRIM(A3058&amp;"")</f>
        <v/>
      </c>
      <c r="AA3058">
        <f>IF(Z3058="","",IF(MATCH(SUBSTITUTE(SUBSTITUTE(SUBSTITUTE(Z3058,"~","~~"),"*","~*"),"?","~?"),$Z$5:$Z$5004,0)=3054,MAX($AA$4:AA3057)+1,""))</f>
        <v/>
      </c>
    </row>
    <row r="3059" spans="1:27">
      <c r="A3059" s="9"/>
      <c r="Z3059">
        <f>TRIM(A3059&amp;"")</f>
        <v/>
      </c>
      <c r="AA3059">
        <f>IF(Z3059="","",IF(MATCH(SUBSTITUTE(SUBSTITUTE(SUBSTITUTE(Z3059,"~","~~"),"*","~*"),"?","~?"),$Z$5:$Z$5004,0)=3055,MAX($AA$4:AA3058)+1,""))</f>
        <v/>
      </c>
    </row>
    <row r="3060" spans="1:27">
      <c r="A3060" s="9"/>
      <c r="Z3060">
        <f>TRIM(A3060&amp;"")</f>
        <v/>
      </c>
      <c r="AA3060">
        <f>IF(Z3060="","",IF(MATCH(SUBSTITUTE(SUBSTITUTE(SUBSTITUTE(Z3060,"~","~~"),"*","~*"),"?","~?"),$Z$5:$Z$5004,0)=3056,MAX($AA$4:AA3059)+1,""))</f>
        <v/>
      </c>
    </row>
    <row r="3061" spans="1:27">
      <c r="A3061" s="9"/>
      <c r="Z3061">
        <f>TRIM(A3061&amp;"")</f>
        <v/>
      </c>
      <c r="AA3061">
        <f>IF(Z3061="","",IF(MATCH(SUBSTITUTE(SUBSTITUTE(SUBSTITUTE(Z3061,"~","~~"),"*","~*"),"?","~?"),$Z$5:$Z$5004,0)=3057,MAX($AA$4:AA3060)+1,""))</f>
        <v/>
      </c>
    </row>
    <row r="3062" spans="1:27">
      <c r="A3062" s="9"/>
      <c r="Z3062">
        <f>TRIM(A3062&amp;"")</f>
        <v/>
      </c>
      <c r="AA3062">
        <f>IF(Z3062="","",IF(MATCH(SUBSTITUTE(SUBSTITUTE(SUBSTITUTE(Z3062,"~","~~"),"*","~*"),"?","~?"),$Z$5:$Z$5004,0)=3058,MAX($AA$4:AA3061)+1,""))</f>
        <v/>
      </c>
    </row>
    <row r="3063" spans="1:27">
      <c r="A3063" s="9"/>
      <c r="Z3063">
        <f>TRIM(A3063&amp;"")</f>
        <v/>
      </c>
      <c r="AA3063">
        <f>IF(Z3063="","",IF(MATCH(SUBSTITUTE(SUBSTITUTE(SUBSTITUTE(Z3063,"~","~~"),"*","~*"),"?","~?"),$Z$5:$Z$5004,0)=3059,MAX($AA$4:AA3062)+1,""))</f>
        <v/>
      </c>
    </row>
    <row r="3064" spans="1:27">
      <c r="A3064" s="9"/>
      <c r="Z3064">
        <f>TRIM(A3064&amp;"")</f>
        <v/>
      </c>
      <c r="AA3064">
        <f>IF(Z3064="","",IF(MATCH(SUBSTITUTE(SUBSTITUTE(SUBSTITUTE(Z3064,"~","~~"),"*","~*"),"?","~?"),$Z$5:$Z$5004,0)=3060,MAX($AA$4:AA3063)+1,""))</f>
        <v/>
      </c>
    </row>
    <row r="3065" spans="1:27">
      <c r="A3065" s="9"/>
      <c r="Z3065">
        <f>TRIM(A3065&amp;"")</f>
        <v/>
      </c>
      <c r="AA3065">
        <f>IF(Z3065="","",IF(MATCH(SUBSTITUTE(SUBSTITUTE(SUBSTITUTE(Z3065,"~","~~"),"*","~*"),"?","~?"),$Z$5:$Z$5004,0)=3061,MAX($AA$4:AA3064)+1,""))</f>
        <v/>
      </c>
    </row>
    <row r="3066" spans="1:27">
      <c r="A3066" s="9"/>
      <c r="Z3066">
        <f>TRIM(A3066&amp;"")</f>
        <v/>
      </c>
      <c r="AA3066">
        <f>IF(Z3066="","",IF(MATCH(SUBSTITUTE(SUBSTITUTE(SUBSTITUTE(Z3066,"~","~~"),"*","~*"),"?","~?"),$Z$5:$Z$5004,0)=3062,MAX($AA$4:AA3065)+1,""))</f>
        <v/>
      </c>
    </row>
    <row r="3067" spans="1:27">
      <c r="A3067" s="9"/>
      <c r="Z3067">
        <f>TRIM(A3067&amp;"")</f>
        <v/>
      </c>
      <c r="AA3067">
        <f>IF(Z3067="","",IF(MATCH(SUBSTITUTE(SUBSTITUTE(SUBSTITUTE(Z3067,"~","~~"),"*","~*"),"?","~?"),$Z$5:$Z$5004,0)=3063,MAX($AA$4:AA3066)+1,""))</f>
        <v/>
      </c>
    </row>
    <row r="3068" spans="1:27">
      <c r="A3068" s="9"/>
      <c r="Z3068">
        <f>TRIM(A3068&amp;"")</f>
        <v/>
      </c>
      <c r="AA3068">
        <f>IF(Z3068="","",IF(MATCH(SUBSTITUTE(SUBSTITUTE(SUBSTITUTE(Z3068,"~","~~"),"*","~*"),"?","~?"),$Z$5:$Z$5004,0)=3064,MAX($AA$4:AA3067)+1,""))</f>
        <v/>
      </c>
    </row>
    <row r="3069" spans="1:27">
      <c r="A3069" s="9"/>
      <c r="Z3069">
        <f>TRIM(A3069&amp;"")</f>
        <v/>
      </c>
      <c r="AA3069">
        <f>IF(Z3069="","",IF(MATCH(SUBSTITUTE(SUBSTITUTE(SUBSTITUTE(Z3069,"~","~~"),"*","~*"),"?","~?"),$Z$5:$Z$5004,0)=3065,MAX($AA$4:AA3068)+1,""))</f>
        <v/>
      </c>
    </row>
    <row r="3070" spans="1:27">
      <c r="A3070" s="9"/>
      <c r="Z3070">
        <f>TRIM(A3070&amp;"")</f>
        <v/>
      </c>
      <c r="AA3070">
        <f>IF(Z3070="","",IF(MATCH(SUBSTITUTE(SUBSTITUTE(SUBSTITUTE(Z3070,"~","~~"),"*","~*"),"?","~?"),$Z$5:$Z$5004,0)=3066,MAX($AA$4:AA3069)+1,""))</f>
        <v/>
      </c>
    </row>
    <row r="3071" spans="1:27">
      <c r="A3071" s="9"/>
      <c r="Z3071">
        <f>TRIM(A3071&amp;"")</f>
        <v/>
      </c>
      <c r="AA3071">
        <f>IF(Z3071="","",IF(MATCH(SUBSTITUTE(SUBSTITUTE(SUBSTITUTE(Z3071,"~","~~"),"*","~*"),"?","~?"),$Z$5:$Z$5004,0)=3067,MAX($AA$4:AA3070)+1,""))</f>
        <v/>
      </c>
    </row>
    <row r="3072" spans="1:27">
      <c r="A3072" s="9"/>
      <c r="Z3072">
        <f>TRIM(A3072&amp;"")</f>
        <v/>
      </c>
      <c r="AA3072">
        <f>IF(Z3072="","",IF(MATCH(SUBSTITUTE(SUBSTITUTE(SUBSTITUTE(Z3072,"~","~~"),"*","~*"),"?","~?"),$Z$5:$Z$5004,0)=3068,MAX($AA$4:AA3071)+1,""))</f>
        <v/>
      </c>
    </row>
    <row r="3073" spans="1:27">
      <c r="A3073" s="9"/>
      <c r="Z3073">
        <f>TRIM(A3073&amp;"")</f>
        <v/>
      </c>
      <c r="AA3073">
        <f>IF(Z3073="","",IF(MATCH(SUBSTITUTE(SUBSTITUTE(SUBSTITUTE(Z3073,"~","~~"),"*","~*"),"?","~?"),$Z$5:$Z$5004,0)=3069,MAX($AA$4:AA3072)+1,""))</f>
        <v/>
      </c>
    </row>
    <row r="3074" spans="1:27">
      <c r="A3074" s="9"/>
      <c r="Z3074">
        <f>TRIM(A3074&amp;"")</f>
        <v/>
      </c>
      <c r="AA3074">
        <f>IF(Z3074="","",IF(MATCH(SUBSTITUTE(SUBSTITUTE(SUBSTITUTE(Z3074,"~","~~"),"*","~*"),"?","~?"),$Z$5:$Z$5004,0)=3070,MAX($AA$4:AA3073)+1,""))</f>
        <v/>
      </c>
    </row>
    <row r="3075" spans="1:27">
      <c r="A3075" s="9"/>
      <c r="Z3075">
        <f>TRIM(A3075&amp;"")</f>
        <v/>
      </c>
      <c r="AA3075">
        <f>IF(Z3075="","",IF(MATCH(SUBSTITUTE(SUBSTITUTE(SUBSTITUTE(Z3075,"~","~~"),"*","~*"),"?","~?"),$Z$5:$Z$5004,0)=3071,MAX($AA$4:AA3074)+1,""))</f>
        <v/>
      </c>
    </row>
    <row r="3076" spans="1:27">
      <c r="A3076" s="9"/>
      <c r="Z3076">
        <f>TRIM(A3076&amp;"")</f>
        <v/>
      </c>
      <c r="AA3076">
        <f>IF(Z3076="","",IF(MATCH(SUBSTITUTE(SUBSTITUTE(SUBSTITUTE(Z3076,"~","~~"),"*","~*"),"?","~?"),$Z$5:$Z$5004,0)=3072,MAX($AA$4:AA3075)+1,""))</f>
        <v/>
      </c>
    </row>
    <row r="3077" spans="1:27">
      <c r="A3077" s="9"/>
      <c r="Z3077">
        <f>TRIM(A3077&amp;"")</f>
        <v/>
      </c>
      <c r="AA3077">
        <f>IF(Z3077="","",IF(MATCH(SUBSTITUTE(SUBSTITUTE(SUBSTITUTE(Z3077,"~","~~"),"*","~*"),"?","~?"),$Z$5:$Z$5004,0)=3073,MAX($AA$4:AA3076)+1,""))</f>
        <v/>
      </c>
    </row>
    <row r="3078" spans="1:27">
      <c r="A3078" s="9"/>
      <c r="Z3078">
        <f>TRIM(A3078&amp;"")</f>
        <v/>
      </c>
      <c r="AA3078">
        <f>IF(Z3078="","",IF(MATCH(SUBSTITUTE(SUBSTITUTE(SUBSTITUTE(Z3078,"~","~~"),"*","~*"),"?","~?"),$Z$5:$Z$5004,0)=3074,MAX($AA$4:AA3077)+1,""))</f>
        <v/>
      </c>
    </row>
    <row r="3079" spans="1:27">
      <c r="A3079" s="9"/>
      <c r="Z3079">
        <f>TRIM(A3079&amp;"")</f>
        <v/>
      </c>
      <c r="AA3079">
        <f>IF(Z3079="","",IF(MATCH(SUBSTITUTE(SUBSTITUTE(SUBSTITUTE(Z3079,"~","~~"),"*","~*"),"?","~?"),$Z$5:$Z$5004,0)=3075,MAX($AA$4:AA3078)+1,""))</f>
        <v/>
      </c>
    </row>
    <row r="3080" spans="1:27">
      <c r="A3080" s="9"/>
      <c r="Z3080">
        <f>TRIM(A3080&amp;"")</f>
        <v/>
      </c>
      <c r="AA3080">
        <f>IF(Z3080="","",IF(MATCH(SUBSTITUTE(SUBSTITUTE(SUBSTITUTE(Z3080,"~","~~"),"*","~*"),"?","~?"),$Z$5:$Z$5004,0)=3076,MAX($AA$4:AA3079)+1,""))</f>
        <v/>
      </c>
    </row>
    <row r="3081" spans="1:27">
      <c r="A3081" s="9"/>
      <c r="Z3081">
        <f>TRIM(A3081&amp;"")</f>
        <v/>
      </c>
      <c r="AA3081">
        <f>IF(Z3081="","",IF(MATCH(SUBSTITUTE(SUBSTITUTE(SUBSTITUTE(Z3081,"~","~~"),"*","~*"),"?","~?"),$Z$5:$Z$5004,0)=3077,MAX($AA$4:AA3080)+1,""))</f>
        <v/>
      </c>
    </row>
    <row r="3082" spans="1:27">
      <c r="A3082" s="9"/>
      <c r="Z3082">
        <f>TRIM(A3082&amp;"")</f>
        <v/>
      </c>
      <c r="AA3082">
        <f>IF(Z3082="","",IF(MATCH(SUBSTITUTE(SUBSTITUTE(SUBSTITUTE(Z3082,"~","~~"),"*","~*"),"?","~?"),$Z$5:$Z$5004,0)=3078,MAX($AA$4:AA3081)+1,""))</f>
        <v/>
      </c>
    </row>
    <row r="3083" spans="1:27">
      <c r="A3083" s="9"/>
      <c r="Z3083">
        <f>TRIM(A3083&amp;"")</f>
        <v/>
      </c>
      <c r="AA3083">
        <f>IF(Z3083="","",IF(MATCH(SUBSTITUTE(SUBSTITUTE(SUBSTITUTE(Z3083,"~","~~"),"*","~*"),"?","~?"),$Z$5:$Z$5004,0)=3079,MAX($AA$4:AA3082)+1,""))</f>
        <v/>
      </c>
    </row>
    <row r="3084" spans="1:27">
      <c r="A3084" s="9"/>
      <c r="Z3084">
        <f>TRIM(A3084&amp;"")</f>
        <v/>
      </c>
      <c r="AA3084">
        <f>IF(Z3084="","",IF(MATCH(SUBSTITUTE(SUBSTITUTE(SUBSTITUTE(Z3084,"~","~~"),"*","~*"),"?","~?"),$Z$5:$Z$5004,0)=3080,MAX($AA$4:AA3083)+1,""))</f>
        <v/>
      </c>
    </row>
    <row r="3085" spans="1:27">
      <c r="A3085" s="9"/>
      <c r="Z3085">
        <f>TRIM(A3085&amp;"")</f>
        <v/>
      </c>
      <c r="AA3085">
        <f>IF(Z3085="","",IF(MATCH(SUBSTITUTE(SUBSTITUTE(SUBSTITUTE(Z3085,"~","~~"),"*","~*"),"?","~?"),$Z$5:$Z$5004,0)=3081,MAX($AA$4:AA3084)+1,""))</f>
        <v/>
      </c>
    </row>
    <row r="3086" spans="1:27">
      <c r="A3086" s="9"/>
      <c r="Z3086">
        <f>TRIM(A3086&amp;"")</f>
        <v/>
      </c>
      <c r="AA3086">
        <f>IF(Z3086="","",IF(MATCH(SUBSTITUTE(SUBSTITUTE(SUBSTITUTE(Z3086,"~","~~"),"*","~*"),"?","~?"),$Z$5:$Z$5004,0)=3082,MAX($AA$4:AA3085)+1,""))</f>
        <v/>
      </c>
    </row>
    <row r="3087" spans="1:27">
      <c r="A3087" s="9"/>
      <c r="Z3087">
        <f>TRIM(A3087&amp;"")</f>
        <v/>
      </c>
      <c r="AA3087">
        <f>IF(Z3087="","",IF(MATCH(SUBSTITUTE(SUBSTITUTE(SUBSTITUTE(Z3087,"~","~~"),"*","~*"),"?","~?"),$Z$5:$Z$5004,0)=3083,MAX($AA$4:AA3086)+1,""))</f>
        <v/>
      </c>
    </row>
    <row r="3088" spans="1:27">
      <c r="A3088" s="9"/>
      <c r="Z3088">
        <f>TRIM(A3088&amp;"")</f>
        <v/>
      </c>
      <c r="AA3088">
        <f>IF(Z3088="","",IF(MATCH(SUBSTITUTE(SUBSTITUTE(SUBSTITUTE(Z3088,"~","~~"),"*","~*"),"?","~?"),$Z$5:$Z$5004,0)=3084,MAX($AA$4:AA3087)+1,""))</f>
        <v/>
      </c>
    </row>
    <row r="3089" spans="1:27">
      <c r="A3089" s="9"/>
      <c r="Z3089">
        <f>TRIM(A3089&amp;"")</f>
        <v/>
      </c>
      <c r="AA3089">
        <f>IF(Z3089="","",IF(MATCH(SUBSTITUTE(SUBSTITUTE(SUBSTITUTE(Z3089,"~","~~"),"*","~*"),"?","~?"),$Z$5:$Z$5004,0)=3085,MAX($AA$4:AA3088)+1,""))</f>
        <v/>
      </c>
    </row>
    <row r="3090" spans="1:27">
      <c r="A3090" s="9"/>
      <c r="Z3090">
        <f>TRIM(A3090&amp;"")</f>
        <v/>
      </c>
      <c r="AA3090">
        <f>IF(Z3090="","",IF(MATCH(SUBSTITUTE(SUBSTITUTE(SUBSTITUTE(Z3090,"~","~~"),"*","~*"),"?","~?"),$Z$5:$Z$5004,0)=3086,MAX($AA$4:AA3089)+1,""))</f>
        <v/>
      </c>
    </row>
    <row r="3091" spans="1:27">
      <c r="A3091" s="9"/>
      <c r="Z3091">
        <f>TRIM(A3091&amp;"")</f>
        <v/>
      </c>
      <c r="AA3091">
        <f>IF(Z3091="","",IF(MATCH(SUBSTITUTE(SUBSTITUTE(SUBSTITUTE(Z3091,"~","~~"),"*","~*"),"?","~?"),$Z$5:$Z$5004,0)=3087,MAX($AA$4:AA3090)+1,""))</f>
        <v/>
      </c>
    </row>
    <row r="3092" spans="1:27">
      <c r="A3092" s="9"/>
      <c r="Z3092">
        <f>TRIM(A3092&amp;"")</f>
        <v/>
      </c>
      <c r="AA3092">
        <f>IF(Z3092="","",IF(MATCH(SUBSTITUTE(SUBSTITUTE(SUBSTITUTE(Z3092,"~","~~"),"*","~*"),"?","~?"),$Z$5:$Z$5004,0)=3088,MAX($AA$4:AA3091)+1,""))</f>
        <v/>
      </c>
    </row>
    <row r="3093" spans="1:27">
      <c r="A3093" s="9"/>
      <c r="Z3093">
        <f>TRIM(A3093&amp;"")</f>
        <v/>
      </c>
      <c r="AA3093">
        <f>IF(Z3093="","",IF(MATCH(SUBSTITUTE(SUBSTITUTE(SUBSTITUTE(Z3093,"~","~~"),"*","~*"),"?","~?"),$Z$5:$Z$5004,0)=3089,MAX($AA$4:AA3092)+1,""))</f>
        <v/>
      </c>
    </row>
    <row r="3094" spans="1:27">
      <c r="A3094" s="9"/>
      <c r="Z3094">
        <f>TRIM(A3094&amp;"")</f>
        <v/>
      </c>
      <c r="AA3094">
        <f>IF(Z3094="","",IF(MATCH(SUBSTITUTE(SUBSTITUTE(SUBSTITUTE(Z3094,"~","~~"),"*","~*"),"?","~?"),$Z$5:$Z$5004,0)=3090,MAX($AA$4:AA3093)+1,""))</f>
        <v/>
      </c>
    </row>
    <row r="3095" spans="1:27">
      <c r="A3095" s="9"/>
      <c r="Z3095">
        <f>TRIM(A3095&amp;"")</f>
        <v/>
      </c>
      <c r="AA3095">
        <f>IF(Z3095="","",IF(MATCH(SUBSTITUTE(SUBSTITUTE(SUBSTITUTE(Z3095,"~","~~"),"*","~*"),"?","~?"),$Z$5:$Z$5004,0)=3091,MAX($AA$4:AA3094)+1,""))</f>
        <v/>
      </c>
    </row>
    <row r="3096" spans="1:27">
      <c r="A3096" s="9"/>
      <c r="Z3096">
        <f>TRIM(A3096&amp;"")</f>
        <v/>
      </c>
      <c r="AA3096">
        <f>IF(Z3096="","",IF(MATCH(SUBSTITUTE(SUBSTITUTE(SUBSTITUTE(Z3096,"~","~~"),"*","~*"),"?","~?"),$Z$5:$Z$5004,0)=3092,MAX($AA$4:AA3095)+1,""))</f>
        <v/>
      </c>
    </row>
    <row r="3097" spans="1:27">
      <c r="A3097" s="9"/>
      <c r="Z3097">
        <f>TRIM(A3097&amp;"")</f>
        <v/>
      </c>
      <c r="AA3097">
        <f>IF(Z3097="","",IF(MATCH(SUBSTITUTE(SUBSTITUTE(SUBSTITUTE(Z3097,"~","~~"),"*","~*"),"?","~?"),$Z$5:$Z$5004,0)=3093,MAX($AA$4:AA3096)+1,""))</f>
        <v/>
      </c>
    </row>
    <row r="3098" spans="1:27">
      <c r="A3098" s="9"/>
      <c r="Z3098">
        <f>TRIM(A3098&amp;"")</f>
        <v/>
      </c>
      <c r="AA3098">
        <f>IF(Z3098="","",IF(MATCH(SUBSTITUTE(SUBSTITUTE(SUBSTITUTE(Z3098,"~","~~"),"*","~*"),"?","~?"),$Z$5:$Z$5004,0)=3094,MAX($AA$4:AA3097)+1,""))</f>
        <v/>
      </c>
    </row>
    <row r="3099" spans="1:27">
      <c r="A3099" s="9"/>
      <c r="Z3099">
        <f>TRIM(A3099&amp;"")</f>
        <v/>
      </c>
      <c r="AA3099">
        <f>IF(Z3099="","",IF(MATCH(SUBSTITUTE(SUBSTITUTE(SUBSTITUTE(Z3099,"~","~~"),"*","~*"),"?","~?"),$Z$5:$Z$5004,0)=3095,MAX($AA$4:AA3098)+1,""))</f>
        <v/>
      </c>
    </row>
    <row r="3100" spans="1:27">
      <c r="A3100" s="9"/>
      <c r="Z3100">
        <f>TRIM(A3100&amp;"")</f>
        <v/>
      </c>
      <c r="AA3100">
        <f>IF(Z3100="","",IF(MATCH(SUBSTITUTE(SUBSTITUTE(SUBSTITUTE(Z3100,"~","~~"),"*","~*"),"?","~?"),$Z$5:$Z$5004,0)=3096,MAX($AA$4:AA3099)+1,""))</f>
        <v/>
      </c>
    </row>
    <row r="3101" spans="1:27">
      <c r="A3101" s="9"/>
      <c r="Z3101">
        <f>TRIM(A3101&amp;"")</f>
        <v/>
      </c>
      <c r="AA3101">
        <f>IF(Z3101="","",IF(MATCH(SUBSTITUTE(SUBSTITUTE(SUBSTITUTE(Z3101,"~","~~"),"*","~*"),"?","~?"),$Z$5:$Z$5004,0)=3097,MAX($AA$4:AA3100)+1,""))</f>
        <v/>
      </c>
    </row>
    <row r="3102" spans="1:27">
      <c r="A3102" s="9"/>
      <c r="Z3102">
        <f>TRIM(A3102&amp;"")</f>
        <v/>
      </c>
      <c r="AA3102">
        <f>IF(Z3102="","",IF(MATCH(SUBSTITUTE(SUBSTITUTE(SUBSTITUTE(Z3102,"~","~~"),"*","~*"),"?","~?"),$Z$5:$Z$5004,0)=3098,MAX($AA$4:AA3101)+1,""))</f>
        <v/>
      </c>
    </row>
    <row r="3103" spans="1:27">
      <c r="A3103" s="9"/>
      <c r="Z3103">
        <f>TRIM(A3103&amp;"")</f>
        <v/>
      </c>
      <c r="AA3103">
        <f>IF(Z3103="","",IF(MATCH(SUBSTITUTE(SUBSTITUTE(SUBSTITUTE(Z3103,"~","~~"),"*","~*"),"?","~?"),$Z$5:$Z$5004,0)=3099,MAX($AA$4:AA3102)+1,""))</f>
        <v/>
      </c>
    </row>
    <row r="3104" spans="1:27">
      <c r="A3104" s="9"/>
      <c r="Z3104">
        <f>TRIM(A3104&amp;"")</f>
        <v/>
      </c>
      <c r="AA3104">
        <f>IF(Z3104="","",IF(MATCH(SUBSTITUTE(SUBSTITUTE(SUBSTITUTE(Z3104,"~","~~"),"*","~*"),"?","~?"),$Z$5:$Z$5004,0)=3100,MAX($AA$4:AA3103)+1,""))</f>
        <v/>
      </c>
    </row>
    <row r="3105" spans="1:27">
      <c r="A3105" s="9"/>
      <c r="Z3105">
        <f>TRIM(A3105&amp;"")</f>
        <v/>
      </c>
      <c r="AA3105">
        <f>IF(Z3105="","",IF(MATCH(SUBSTITUTE(SUBSTITUTE(SUBSTITUTE(Z3105,"~","~~"),"*","~*"),"?","~?"),$Z$5:$Z$5004,0)=3101,MAX($AA$4:AA3104)+1,""))</f>
        <v/>
      </c>
    </row>
    <row r="3106" spans="1:27">
      <c r="A3106" s="9"/>
      <c r="Z3106">
        <f>TRIM(A3106&amp;"")</f>
        <v/>
      </c>
      <c r="AA3106">
        <f>IF(Z3106="","",IF(MATCH(SUBSTITUTE(SUBSTITUTE(SUBSTITUTE(Z3106,"~","~~"),"*","~*"),"?","~?"),$Z$5:$Z$5004,0)=3102,MAX($AA$4:AA3105)+1,""))</f>
        <v/>
      </c>
    </row>
    <row r="3107" spans="1:27">
      <c r="A3107" s="9"/>
      <c r="Z3107">
        <f>TRIM(A3107&amp;"")</f>
        <v/>
      </c>
      <c r="AA3107">
        <f>IF(Z3107="","",IF(MATCH(SUBSTITUTE(SUBSTITUTE(SUBSTITUTE(Z3107,"~","~~"),"*","~*"),"?","~?"),$Z$5:$Z$5004,0)=3103,MAX($AA$4:AA3106)+1,""))</f>
        <v/>
      </c>
    </row>
    <row r="3108" spans="1:27">
      <c r="A3108" s="9"/>
      <c r="Z3108">
        <f>TRIM(A3108&amp;"")</f>
        <v/>
      </c>
      <c r="AA3108">
        <f>IF(Z3108="","",IF(MATCH(SUBSTITUTE(SUBSTITUTE(SUBSTITUTE(Z3108,"~","~~"),"*","~*"),"?","~?"),$Z$5:$Z$5004,0)=3104,MAX($AA$4:AA3107)+1,""))</f>
        <v/>
      </c>
    </row>
    <row r="3109" spans="1:27">
      <c r="A3109" s="9"/>
      <c r="Z3109">
        <f>TRIM(A3109&amp;"")</f>
        <v/>
      </c>
      <c r="AA3109">
        <f>IF(Z3109="","",IF(MATCH(SUBSTITUTE(SUBSTITUTE(SUBSTITUTE(Z3109,"~","~~"),"*","~*"),"?","~?"),$Z$5:$Z$5004,0)=3105,MAX($AA$4:AA3108)+1,""))</f>
        <v/>
      </c>
    </row>
    <row r="3110" spans="1:27">
      <c r="A3110" s="9"/>
      <c r="Z3110">
        <f>TRIM(A3110&amp;"")</f>
        <v/>
      </c>
      <c r="AA3110">
        <f>IF(Z3110="","",IF(MATCH(SUBSTITUTE(SUBSTITUTE(SUBSTITUTE(Z3110,"~","~~"),"*","~*"),"?","~?"),$Z$5:$Z$5004,0)=3106,MAX($AA$4:AA3109)+1,""))</f>
        <v/>
      </c>
    </row>
    <row r="3111" spans="1:27">
      <c r="A3111" s="9"/>
      <c r="Z3111">
        <f>TRIM(A3111&amp;"")</f>
        <v/>
      </c>
      <c r="AA3111">
        <f>IF(Z3111="","",IF(MATCH(SUBSTITUTE(SUBSTITUTE(SUBSTITUTE(Z3111,"~","~~"),"*","~*"),"?","~?"),$Z$5:$Z$5004,0)=3107,MAX($AA$4:AA3110)+1,""))</f>
        <v/>
      </c>
    </row>
    <row r="3112" spans="1:27">
      <c r="A3112" s="9"/>
      <c r="Z3112">
        <f>TRIM(A3112&amp;"")</f>
        <v/>
      </c>
      <c r="AA3112">
        <f>IF(Z3112="","",IF(MATCH(SUBSTITUTE(SUBSTITUTE(SUBSTITUTE(Z3112,"~","~~"),"*","~*"),"?","~?"),$Z$5:$Z$5004,0)=3108,MAX($AA$4:AA3111)+1,""))</f>
        <v/>
      </c>
    </row>
    <row r="3113" spans="1:27">
      <c r="A3113" s="9"/>
      <c r="Z3113">
        <f>TRIM(A3113&amp;"")</f>
        <v/>
      </c>
      <c r="AA3113">
        <f>IF(Z3113="","",IF(MATCH(SUBSTITUTE(SUBSTITUTE(SUBSTITUTE(Z3113,"~","~~"),"*","~*"),"?","~?"),$Z$5:$Z$5004,0)=3109,MAX($AA$4:AA3112)+1,""))</f>
        <v/>
      </c>
    </row>
    <row r="3114" spans="1:27">
      <c r="A3114" s="9"/>
      <c r="Z3114">
        <f>TRIM(A3114&amp;"")</f>
        <v/>
      </c>
      <c r="AA3114">
        <f>IF(Z3114="","",IF(MATCH(SUBSTITUTE(SUBSTITUTE(SUBSTITUTE(Z3114,"~","~~"),"*","~*"),"?","~?"),$Z$5:$Z$5004,0)=3110,MAX($AA$4:AA3113)+1,""))</f>
        <v/>
      </c>
    </row>
    <row r="3115" spans="1:27">
      <c r="A3115" s="9"/>
      <c r="Z3115">
        <f>TRIM(A3115&amp;"")</f>
        <v/>
      </c>
      <c r="AA3115">
        <f>IF(Z3115="","",IF(MATCH(SUBSTITUTE(SUBSTITUTE(SUBSTITUTE(Z3115,"~","~~"),"*","~*"),"?","~?"),$Z$5:$Z$5004,0)=3111,MAX($AA$4:AA3114)+1,""))</f>
        <v/>
      </c>
    </row>
    <row r="3116" spans="1:27">
      <c r="A3116" s="9"/>
      <c r="Z3116">
        <f>TRIM(A3116&amp;"")</f>
        <v/>
      </c>
      <c r="AA3116">
        <f>IF(Z3116="","",IF(MATCH(SUBSTITUTE(SUBSTITUTE(SUBSTITUTE(Z3116,"~","~~"),"*","~*"),"?","~?"),$Z$5:$Z$5004,0)=3112,MAX($AA$4:AA3115)+1,""))</f>
        <v/>
      </c>
    </row>
    <row r="3117" spans="1:27">
      <c r="A3117" s="9"/>
      <c r="Z3117">
        <f>TRIM(A3117&amp;"")</f>
        <v/>
      </c>
      <c r="AA3117">
        <f>IF(Z3117="","",IF(MATCH(SUBSTITUTE(SUBSTITUTE(SUBSTITUTE(Z3117,"~","~~"),"*","~*"),"?","~?"),$Z$5:$Z$5004,0)=3113,MAX($AA$4:AA3116)+1,""))</f>
        <v/>
      </c>
    </row>
    <row r="3118" spans="1:27">
      <c r="A3118" s="9"/>
      <c r="Z3118">
        <f>TRIM(A3118&amp;"")</f>
        <v/>
      </c>
      <c r="AA3118">
        <f>IF(Z3118="","",IF(MATCH(SUBSTITUTE(SUBSTITUTE(SUBSTITUTE(Z3118,"~","~~"),"*","~*"),"?","~?"),$Z$5:$Z$5004,0)=3114,MAX($AA$4:AA3117)+1,""))</f>
        <v/>
      </c>
    </row>
    <row r="3119" spans="1:27">
      <c r="A3119" s="9"/>
      <c r="Z3119">
        <f>TRIM(A3119&amp;"")</f>
        <v/>
      </c>
      <c r="AA3119">
        <f>IF(Z3119="","",IF(MATCH(SUBSTITUTE(SUBSTITUTE(SUBSTITUTE(Z3119,"~","~~"),"*","~*"),"?","~?"),$Z$5:$Z$5004,0)=3115,MAX($AA$4:AA3118)+1,""))</f>
        <v/>
      </c>
    </row>
    <row r="3120" spans="1:27">
      <c r="A3120" s="9"/>
      <c r="Z3120">
        <f>TRIM(A3120&amp;"")</f>
        <v/>
      </c>
      <c r="AA3120">
        <f>IF(Z3120="","",IF(MATCH(SUBSTITUTE(SUBSTITUTE(SUBSTITUTE(Z3120,"~","~~"),"*","~*"),"?","~?"),$Z$5:$Z$5004,0)=3116,MAX($AA$4:AA3119)+1,""))</f>
        <v/>
      </c>
    </row>
    <row r="3121" spans="1:27">
      <c r="A3121" s="9"/>
      <c r="Z3121">
        <f>TRIM(A3121&amp;"")</f>
        <v/>
      </c>
      <c r="AA3121">
        <f>IF(Z3121="","",IF(MATCH(SUBSTITUTE(SUBSTITUTE(SUBSTITUTE(Z3121,"~","~~"),"*","~*"),"?","~?"),$Z$5:$Z$5004,0)=3117,MAX($AA$4:AA3120)+1,""))</f>
        <v/>
      </c>
    </row>
    <row r="3122" spans="1:27">
      <c r="A3122" s="9"/>
      <c r="Z3122">
        <f>TRIM(A3122&amp;"")</f>
        <v/>
      </c>
      <c r="AA3122">
        <f>IF(Z3122="","",IF(MATCH(SUBSTITUTE(SUBSTITUTE(SUBSTITUTE(Z3122,"~","~~"),"*","~*"),"?","~?"),$Z$5:$Z$5004,0)=3118,MAX($AA$4:AA3121)+1,""))</f>
        <v/>
      </c>
    </row>
    <row r="3123" spans="1:27">
      <c r="A3123" s="9"/>
      <c r="Z3123">
        <f>TRIM(A3123&amp;"")</f>
        <v/>
      </c>
      <c r="AA3123">
        <f>IF(Z3123="","",IF(MATCH(SUBSTITUTE(SUBSTITUTE(SUBSTITUTE(Z3123,"~","~~"),"*","~*"),"?","~?"),$Z$5:$Z$5004,0)=3119,MAX($AA$4:AA3122)+1,""))</f>
        <v/>
      </c>
    </row>
    <row r="3124" spans="1:27">
      <c r="A3124" s="9"/>
      <c r="Z3124">
        <f>TRIM(A3124&amp;"")</f>
        <v/>
      </c>
      <c r="AA3124">
        <f>IF(Z3124="","",IF(MATCH(SUBSTITUTE(SUBSTITUTE(SUBSTITUTE(Z3124,"~","~~"),"*","~*"),"?","~?"),$Z$5:$Z$5004,0)=3120,MAX($AA$4:AA3123)+1,""))</f>
        <v/>
      </c>
    </row>
    <row r="3125" spans="1:27">
      <c r="A3125" s="9"/>
      <c r="Z3125">
        <f>TRIM(A3125&amp;"")</f>
        <v/>
      </c>
      <c r="AA3125">
        <f>IF(Z3125="","",IF(MATCH(SUBSTITUTE(SUBSTITUTE(SUBSTITUTE(Z3125,"~","~~"),"*","~*"),"?","~?"),$Z$5:$Z$5004,0)=3121,MAX($AA$4:AA3124)+1,""))</f>
        <v/>
      </c>
    </row>
    <row r="3126" spans="1:27">
      <c r="A3126" s="9"/>
      <c r="Z3126">
        <f>TRIM(A3126&amp;"")</f>
        <v/>
      </c>
      <c r="AA3126">
        <f>IF(Z3126="","",IF(MATCH(SUBSTITUTE(SUBSTITUTE(SUBSTITUTE(Z3126,"~","~~"),"*","~*"),"?","~?"),$Z$5:$Z$5004,0)=3122,MAX($AA$4:AA3125)+1,""))</f>
        <v/>
      </c>
    </row>
    <row r="3127" spans="1:27">
      <c r="A3127" s="9"/>
      <c r="Z3127">
        <f>TRIM(A3127&amp;"")</f>
        <v/>
      </c>
      <c r="AA3127">
        <f>IF(Z3127="","",IF(MATCH(SUBSTITUTE(SUBSTITUTE(SUBSTITUTE(Z3127,"~","~~"),"*","~*"),"?","~?"),$Z$5:$Z$5004,0)=3123,MAX($AA$4:AA3126)+1,""))</f>
        <v/>
      </c>
    </row>
    <row r="3128" spans="1:27">
      <c r="A3128" s="9"/>
      <c r="Z3128">
        <f>TRIM(A3128&amp;"")</f>
        <v/>
      </c>
      <c r="AA3128">
        <f>IF(Z3128="","",IF(MATCH(SUBSTITUTE(SUBSTITUTE(SUBSTITUTE(Z3128,"~","~~"),"*","~*"),"?","~?"),$Z$5:$Z$5004,0)=3124,MAX($AA$4:AA3127)+1,""))</f>
        <v/>
      </c>
    </row>
    <row r="3129" spans="1:27">
      <c r="A3129" s="9"/>
      <c r="Z3129">
        <f>TRIM(A3129&amp;"")</f>
        <v/>
      </c>
      <c r="AA3129">
        <f>IF(Z3129="","",IF(MATCH(SUBSTITUTE(SUBSTITUTE(SUBSTITUTE(Z3129,"~","~~"),"*","~*"),"?","~?"),$Z$5:$Z$5004,0)=3125,MAX($AA$4:AA3128)+1,""))</f>
        <v/>
      </c>
    </row>
    <row r="3130" spans="1:27">
      <c r="A3130" s="9"/>
      <c r="Z3130">
        <f>TRIM(A3130&amp;"")</f>
        <v/>
      </c>
      <c r="AA3130">
        <f>IF(Z3130="","",IF(MATCH(SUBSTITUTE(SUBSTITUTE(SUBSTITUTE(Z3130,"~","~~"),"*","~*"),"?","~?"),$Z$5:$Z$5004,0)=3126,MAX($AA$4:AA3129)+1,""))</f>
        <v/>
      </c>
    </row>
    <row r="3131" spans="1:27">
      <c r="A3131" s="9"/>
      <c r="Z3131">
        <f>TRIM(A3131&amp;"")</f>
        <v/>
      </c>
      <c r="AA3131">
        <f>IF(Z3131="","",IF(MATCH(SUBSTITUTE(SUBSTITUTE(SUBSTITUTE(Z3131,"~","~~"),"*","~*"),"?","~?"),$Z$5:$Z$5004,0)=3127,MAX($AA$4:AA3130)+1,""))</f>
        <v/>
      </c>
    </row>
    <row r="3132" spans="1:27">
      <c r="A3132" s="9"/>
      <c r="Z3132">
        <f>TRIM(A3132&amp;"")</f>
        <v/>
      </c>
      <c r="AA3132">
        <f>IF(Z3132="","",IF(MATCH(SUBSTITUTE(SUBSTITUTE(SUBSTITUTE(Z3132,"~","~~"),"*","~*"),"?","~?"),$Z$5:$Z$5004,0)=3128,MAX($AA$4:AA3131)+1,""))</f>
        <v/>
      </c>
    </row>
    <row r="3133" spans="1:27">
      <c r="A3133" s="9"/>
      <c r="Z3133">
        <f>TRIM(A3133&amp;"")</f>
        <v/>
      </c>
      <c r="AA3133">
        <f>IF(Z3133="","",IF(MATCH(SUBSTITUTE(SUBSTITUTE(SUBSTITUTE(Z3133,"~","~~"),"*","~*"),"?","~?"),$Z$5:$Z$5004,0)=3129,MAX($AA$4:AA3132)+1,""))</f>
        <v/>
      </c>
    </row>
    <row r="3134" spans="1:27">
      <c r="A3134" s="9"/>
      <c r="Z3134">
        <f>TRIM(A3134&amp;"")</f>
        <v/>
      </c>
      <c r="AA3134">
        <f>IF(Z3134="","",IF(MATCH(SUBSTITUTE(SUBSTITUTE(SUBSTITUTE(Z3134,"~","~~"),"*","~*"),"?","~?"),$Z$5:$Z$5004,0)=3130,MAX($AA$4:AA3133)+1,""))</f>
        <v/>
      </c>
    </row>
    <row r="3135" spans="1:27">
      <c r="A3135" s="9"/>
      <c r="Z3135">
        <f>TRIM(A3135&amp;"")</f>
        <v/>
      </c>
      <c r="AA3135">
        <f>IF(Z3135="","",IF(MATCH(SUBSTITUTE(SUBSTITUTE(SUBSTITUTE(Z3135,"~","~~"),"*","~*"),"?","~?"),$Z$5:$Z$5004,0)=3131,MAX($AA$4:AA3134)+1,""))</f>
        <v/>
      </c>
    </row>
    <row r="3136" spans="1:27">
      <c r="A3136" s="9"/>
      <c r="Z3136">
        <f>TRIM(A3136&amp;"")</f>
        <v/>
      </c>
      <c r="AA3136">
        <f>IF(Z3136="","",IF(MATCH(SUBSTITUTE(SUBSTITUTE(SUBSTITUTE(Z3136,"~","~~"),"*","~*"),"?","~?"),$Z$5:$Z$5004,0)=3132,MAX($AA$4:AA3135)+1,""))</f>
        <v/>
      </c>
    </row>
    <row r="3137" spans="1:27">
      <c r="A3137" s="9"/>
      <c r="Z3137">
        <f>TRIM(A3137&amp;"")</f>
        <v/>
      </c>
      <c r="AA3137">
        <f>IF(Z3137="","",IF(MATCH(SUBSTITUTE(SUBSTITUTE(SUBSTITUTE(Z3137,"~","~~"),"*","~*"),"?","~?"),$Z$5:$Z$5004,0)=3133,MAX($AA$4:AA3136)+1,""))</f>
        <v/>
      </c>
    </row>
    <row r="3138" spans="1:27">
      <c r="A3138" s="9"/>
      <c r="Z3138">
        <f>TRIM(A3138&amp;"")</f>
        <v/>
      </c>
      <c r="AA3138">
        <f>IF(Z3138="","",IF(MATCH(SUBSTITUTE(SUBSTITUTE(SUBSTITUTE(Z3138,"~","~~"),"*","~*"),"?","~?"),$Z$5:$Z$5004,0)=3134,MAX($AA$4:AA3137)+1,""))</f>
        <v/>
      </c>
    </row>
    <row r="3139" spans="1:27">
      <c r="A3139" s="9"/>
      <c r="Z3139">
        <f>TRIM(A3139&amp;"")</f>
        <v/>
      </c>
      <c r="AA3139">
        <f>IF(Z3139="","",IF(MATCH(SUBSTITUTE(SUBSTITUTE(SUBSTITUTE(Z3139,"~","~~"),"*","~*"),"?","~?"),$Z$5:$Z$5004,0)=3135,MAX($AA$4:AA3138)+1,""))</f>
        <v/>
      </c>
    </row>
    <row r="3140" spans="1:27">
      <c r="A3140" s="9"/>
      <c r="Z3140">
        <f>TRIM(A3140&amp;"")</f>
        <v/>
      </c>
      <c r="AA3140">
        <f>IF(Z3140="","",IF(MATCH(SUBSTITUTE(SUBSTITUTE(SUBSTITUTE(Z3140,"~","~~"),"*","~*"),"?","~?"),$Z$5:$Z$5004,0)=3136,MAX($AA$4:AA3139)+1,""))</f>
        <v/>
      </c>
    </row>
    <row r="3141" spans="1:27">
      <c r="A3141" s="9"/>
      <c r="Z3141">
        <f>TRIM(A3141&amp;"")</f>
        <v/>
      </c>
      <c r="AA3141">
        <f>IF(Z3141="","",IF(MATCH(SUBSTITUTE(SUBSTITUTE(SUBSTITUTE(Z3141,"~","~~"),"*","~*"),"?","~?"),$Z$5:$Z$5004,0)=3137,MAX($AA$4:AA3140)+1,""))</f>
        <v/>
      </c>
    </row>
    <row r="3142" spans="1:27">
      <c r="A3142" s="9"/>
      <c r="Z3142">
        <f>TRIM(A3142&amp;"")</f>
        <v/>
      </c>
      <c r="AA3142">
        <f>IF(Z3142="","",IF(MATCH(SUBSTITUTE(SUBSTITUTE(SUBSTITUTE(Z3142,"~","~~"),"*","~*"),"?","~?"),$Z$5:$Z$5004,0)=3138,MAX($AA$4:AA3141)+1,""))</f>
        <v/>
      </c>
    </row>
    <row r="3143" spans="1:27">
      <c r="A3143" s="9"/>
      <c r="Z3143">
        <f>TRIM(A3143&amp;"")</f>
        <v/>
      </c>
      <c r="AA3143">
        <f>IF(Z3143="","",IF(MATCH(SUBSTITUTE(SUBSTITUTE(SUBSTITUTE(Z3143,"~","~~"),"*","~*"),"?","~?"),$Z$5:$Z$5004,0)=3139,MAX($AA$4:AA3142)+1,""))</f>
        <v/>
      </c>
    </row>
    <row r="3144" spans="1:27">
      <c r="A3144" s="9"/>
      <c r="Z3144">
        <f>TRIM(A3144&amp;"")</f>
        <v/>
      </c>
      <c r="AA3144">
        <f>IF(Z3144="","",IF(MATCH(SUBSTITUTE(SUBSTITUTE(SUBSTITUTE(Z3144,"~","~~"),"*","~*"),"?","~?"),$Z$5:$Z$5004,0)=3140,MAX($AA$4:AA3143)+1,""))</f>
        <v/>
      </c>
    </row>
    <row r="3145" spans="1:27">
      <c r="A3145" s="9"/>
      <c r="Z3145">
        <f>TRIM(A3145&amp;"")</f>
        <v/>
      </c>
      <c r="AA3145">
        <f>IF(Z3145="","",IF(MATCH(SUBSTITUTE(SUBSTITUTE(SUBSTITUTE(Z3145,"~","~~"),"*","~*"),"?","~?"),$Z$5:$Z$5004,0)=3141,MAX($AA$4:AA3144)+1,""))</f>
        <v/>
      </c>
    </row>
    <row r="3146" spans="1:27">
      <c r="A3146" s="9"/>
      <c r="Z3146">
        <f>TRIM(A3146&amp;"")</f>
        <v/>
      </c>
      <c r="AA3146">
        <f>IF(Z3146="","",IF(MATCH(SUBSTITUTE(SUBSTITUTE(SUBSTITUTE(Z3146,"~","~~"),"*","~*"),"?","~?"),$Z$5:$Z$5004,0)=3142,MAX($AA$4:AA3145)+1,""))</f>
        <v/>
      </c>
    </row>
    <row r="3147" spans="1:27">
      <c r="A3147" s="9"/>
      <c r="Z3147">
        <f>TRIM(A3147&amp;"")</f>
        <v/>
      </c>
      <c r="AA3147">
        <f>IF(Z3147="","",IF(MATCH(SUBSTITUTE(SUBSTITUTE(SUBSTITUTE(Z3147,"~","~~"),"*","~*"),"?","~?"),$Z$5:$Z$5004,0)=3143,MAX($AA$4:AA3146)+1,""))</f>
        <v/>
      </c>
    </row>
    <row r="3148" spans="1:27">
      <c r="A3148" s="9"/>
      <c r="Z3148">
        <f>TRIM(A3148&amp;"")</f>
        <v/>
      </c>
      <c r="AA3148">
        <f>IF(Z3148="","",IF(MATCH(SUBSTITUTE(SUBSTITUTE(SUBSTITUTE(Z3148,"~","~~"),"*","~*"),"?","~?"),$Z$5:$Z$5004,0)=3144,MAX($AA$4:AA3147)+1,""))</f>
        <v/>
      </c>
    </row>
    <row r="3149" spans="1:27">
      <c r="A3149" s="9"/>
      <c r="Z3149">
        <f>TRIM(A3149&amp;"")</f>
        <v/>
      </c>
      <c r="AA3149">
        <f>IF(Z3149="","",IF(MATCH(SUBSTITUTE(SUBSTITUTE(SUBSTITUTE(Z3149,"~","~~"),"*","~*"),"?","~?"),$Z$5:$Z$5004,0)=3145,MAX($AA$4:AA3148)+1,""))</f>
        <v/>
      </c>
    </row>
    <row r="3150" spans="1:27">
      <c r="A3150" s="9"/>
      <c r="Z3150">
        <f>TRIM(A3150&amp;"")</f>
        <v/>
      </c>
      <c r="AA3150">
        <f>IF(Z3150="","",IF(MATCH(SUBSTITUTE(SUBSTITUTE(SUBSTITUTE(Z3150,"~","~~"),"*","~*"),"?","~?"),$Z$5:$Z$5004,0)=3146,MAX($AA$4:AA3149)+1,""))</f>
        <v/>
      </c>
    </row>
    <row r="3151" spans="1:27">
      <c r="A3151" s="9"/>
      <c r="Z3151">
        <f>TRIM(A3151&amp;"")</f>
        <v/>
      </c>
      <c r="AA3151">
        <f>IF(Z3151="","",IF(MATCH(SUBSTITUTE(SUBSTITUTE(SUBSTITUTE(Z3151,"~","~~"),"*","~*"),"?","~?"),$Z$5:$Z$5004,0)=3147,MAX($AA$4:AA3150)+1,""))</f>
        <v/>
      </c>
    </row>
    <row r="3152" spans="1:27">
      <c r="A3152" s="9"/>
      <c r="Z3152">
        <f>TRIM(A3152&amp;"")</f>
        <v/>
      </c>
      <c r="AA3152">
        <f>IF(Z3152="","",IF(MATCH(SUBSTITUTE(SUBSTITUTE(SUBSTITUTE(Z3152,"~","~~"),"*","~*"),"?","~?"),$Z$5:$Z$5004,0)=3148,MAX($AA$4:AA3151)+1,""))</f>
        <v/>
      </c>
    </row>
    <row r="3153" spans="1:27">
      <c r="A3153" s="9"/>
      <c r="Z3153">
        <f>TRIM(A3153&amp;"")</f>
        <v/>
      </c>
      <c r="AA3153">
        <f>IF(Z3153="","",IF(MATCH(SUBSTITUTE(SUBSTITUTE(SUBSTITUTE(Z3153,"~","~~"),"*","~*"),"?","~?"),$Z$5:$Z$5004,0)=3149,MAX($AA$4:AA3152)+1,""))</f>
        <v/>
      </c>
    </row>
    <row r="3154" spans="1:27">
      <c r="A3154" s="9"/>
      <c r="Z3154">
        <f>TRIM(A3154&amp;"")</f>
        <v/>
      </c>
      <c r="AA3154">
        <f>IF(Z3154="","",IF(MATCH(SUBSTITUTE(SUBSTITUTE(SUBSTITUTE(Z3154,"~","~~"),"*","~*"),"?","~?"),$Z$5:$Z$5004,0)=3150,MAX($AA$4:AA3153)+1,""))</f>
        <v/>
      </c>
    </row>
    <row r="3155" spans="1:27">
      <c r="A3155" s="9"/>
      <c r="Z3155">
        <f>TRIM(A3155&amp;"")</f>
        <v/>
      </c>
      <c r="AA3155">
        <f>IF(Z3155="","",IF(MATCH(SUBSTITUTE(SUBSTITUTE(SUBSTITUTE(Z3155,"~","~~"),"*","~*"),"?","~?"),$Z$5:$Z$5004,0)=3151,MAX($AA$4:AA3154)+1,""))</f>
        <v/>
      </c>
    </row>
    <row r="3156" spans="1:27">
      <c r="A3156" s="9"/>
      <c r="Z3156">
        <f>TRIM(A3156&amp;"")</f>
        <v/>
      </c>
      <c r="AA3156">
        <f>IF(Z3156="","",IF(MATCH(SUBSTITUTE(SUBSTITUTE(SUBSTITUTE(Z3156,"~","~~"),"*","~*"),"?","~?"),$Z$5:$Z$5004,0)=3152,MAX($AA$4:AA3155)+1,""))</f>
        <v/>
      </c>
    </row>
    <row r="3157" spans="1:27">
      <c r="A3157" s="9"/>
      <c r="Z3157">
        <f>TRIM(A3157&amp;"")</f>
        <v/>
      </c>
      <c r="AA3157">
        <f>IF(Z3157="","",IF(MATCH(SUBSTITUTE(SUBSTITUTE(SUBSTITUTE(Z3157,"~","~~"),"*","~*"),"?","~?"),$Z$5:$Z$5004,0)=3153,MAX($AA$4:AA3156)+1,""))</f>
        <v/>
      </c>
    </row>
    <row r="3158" spans="1:27">
      <c r="A3158" s="9"/>
      <c r="Z3158">
        <f>TRIM(A3158&amp;"")</f>
        <v/>
      </c>
      <c r="AA3158">
        <f>IF(Z3158="","",IF(MATCH(SUBSTITUTE(SUBSTITUTE(SUBSTITUTE(Z3158,"~","~~"),"*","~*"),"?","~?"),$Z$5:$Z$5004,0)=3154,MAX($AA$4:AA3157)+1,""))</f>
        <v/>
      </c>
    </row>
    <row r="3159" spans="1:27">
      <c r="A3159" s="9"/>
      <c r="Z3159">
        <f>TRIM(A3159&amp;"")</f>
        <v/>
      </c>
      <c r="AA3159">
        <f>IF(Z3159="","",IF(MATCH(SUBSTITUTE(SUBSTITUTE(SUBSTITUTE(Z3159,"~","~~"),"*","~*"),"?","~?"),$Z$5:$Z$5004,0)=3155,MAX($AA$4:AA3158)+1,""))</f>
        <v/>
      </c>
    </row>
    <row r="3160" spans="1:27">
      <c r="A3160" s="9"/>
      <c r="Z3160">
        <f>TRIM(A3160&amp;"")</f>
        <v/>
      </c>
      <c r="AA3160">
        <f>IF(Z3160="","",IF(MATCH(SUBSTITUTE(SUBSTITUTE(SUBSTITUTE(Z3160,"~","~~"),"*","~*"),"?","~?"),$Z$5:$Z$5004,0)=3156,MAX($AA$4:AA3159)+1,""))</f>
        <v/>
      </c>
    </row>
    <row r="3161" spans="1:27">
      <c r="A3161" s="9"/>
      <c r="Z3161">
        <f>TRIM(A3161&amp;"")</f>
        <v/>
      </c>
      <c r="AA3161">
        <f>IF(Z3161="","",IF(MATCH(SUBSTITUTE(SUBSTITUTE(SUBSTITUTE(Z3161,"~","~~"),"*","~*"),"?","~?"),$Z$5:$Z$5004,0)=3157,MAX($AA$4:AA3160)+1,""))</f>
        <v/>
      </c>
    </row>
    <row r="3162" spans="1:27">
      <c r="A3162" s="9"/>
      <c r="Z3162">
        <f>TRIM(A3162&amp;"")</f>
        <v/>
      </c>
      <c r="AA3162">
        <f>IF(Z3162="","",IF(MATCH(SUBSTITUTE(SUBSTITUTE(SUBSTITUTE(Z3162,"~","~~"),"*","~*"),"?","~?"),$Z$5:$Z$5004,0)=3158,MAX($AA$4:AA3161)+1,""))</f>
        <v/>
      </c>
    </row>
    <row r="3163" spans="1:27">
      <c r="A3163" s="9"/>
      <c r="Z3163">
        <f>TRIM(A3163&amp;"")</f>
        <v/>
      </c>
      <c r="AA3163">
        <f>IF(Z3163="","",IF(MATCH(SUBSTITUTE(SUBSTITUTE(SUBSTITUTE(Z3163,"~","~~"),"*","~*"),"?","~?"),$Z$5:$Z$5004,0)=3159,MAX($AA$4:AA3162)+1,""))</f>
        <v/>
      </c>
    </row>
    <row r="3164" spans="1:27">
      <c r="A3164" s="9"/>
      <c r="Z3164">
        <f>TRIM(A3164&amp;"")</f>
        <v/>
      </c>
      <c r="AA3164">
        <f>IF(Z3164="","",IF(MATCH(SUBSTITUTE(SUBSTITUTE(SUBSTITUTE(Z3164,"~","~~"),"*","~*"),"?","~?"),$Z$5:$Z$5004,0)=3160,MAX($AA$4:AA3163)+1,""))</f>
        <v/>
      </c>
    </row>
    <row r="3165" spans="1:27">
      <c r="A3165" s="9"/>
      <c r="Z3165">
        <f>TRIM(A3165&amp;"")</f>
        <v/>
      </c>
      <c r="AA3165">
        <f>IF(Z3165="","",IF(MATCH(SUBSTITUTE(SUBSTITUTE(SUBSTITUTE(Z3165,"~","~~"),"*","~*"),"?","~?"),$Z$5:$Z$5004,0)=3161,MAX($AA$4:AA3164)+1,""))</f>
        <v/>
      </c>
    </row>
    <row r="3166" spans="1:27">
      <c r="A3166" s="9"/>
      <c r="Z3166">
        <f>TRIM(A3166&amp;"")</f>
        <v/>
      </c>
      <c r="AA3166">
        <f>IF(Z3166="","",IF(MATCH(SUBSTITUTE(SUBSTITUTE(SUBSTITUTE(Z3166,"~","~~"),"*","~*"),"?","~?"),$Z$5:$Z$5004,0)=3162,MAX($AA$4:AA3165)+1,""))</f>
        <v/>
      </c>
    </row>
    <row r="3167" spans="1:27">
      <c r="A3167" s="9"/>
      <c r="Z3167">
        <f>TRIM(A3167&amp;"")</f>
        <v/>
      </c>
      <c r="AA3167">
        <f>IF(Z3167="","",IF(MATCH(SUBSTITUTE(SUBSTITUTE(SUBSTITUTE(Z3167,"~","~~"),"*","~*"),"?","~?"),$Z$5:$Z$5004,0)=3163,MAX($AA$4:AA3166)+1,""))</f>
        <v/>
      </c>
    </row>
    <row r="3168" spans="1:27">
      <c r="A3168" s="9"/>
      <c r="Z3168">
        <f>TRIM(A3168&amp;"")</f>
        <v/>
      </c>
      <c r="AA3168">
        <f>IF(Z3168="","",IF(MATCH(SUBSTITUTE(SUBSTITUTE(SUBSTITUTE(Z3168,"~","~~"),"*","~*"),"?","~?"),$Z$5:$Z$5004,0)=3164,MAX($AA$4:AA3167)+1,""))</f>
        <v/>
      </c>
    </row>
    <row r="3169" spans="1:27">
      <c r="A3169" s="9"/>
      <c r="Z3169">
        <f>TRIM(A3169&amp;"")</f>
        <v/>
      </c>
      <c r="AA3169">
        <f>IF(Z3169="","",IF(MATCH(SUBSTITUTE(SUBSTITUTE(SUBSTITUTE(Z3169,"~","~~"),"*","~*"),"?","~?"),$Z$5:$Z$5004,0)=3165,MAX($AA$4:AA3168)+1,""))</f>
        <v/>
      </c>
    </row>
    <row r="3170" spans="1:27">
      <c r="A3170" s="9"/>
      <c r="Z3170">
        <f>TRIM(A3170&amp;"")</f>
        <v/>
      </c>
      <c r="AA3170">
        <f>IF(Z3170="","",IF(MATCH(SUBSTITUTE(SUBSTITUTE(SUBSTITUTE(Z3170,"~","~~"),"*","~*"),"?","~?"),$Z$5:$Z$5004,0)=3166,MAX($AA$4:AA3169)+1,""))</f>
        <v/>
      </c>
    </row>
    <row r="3171" spans="1:27">
      <c r="A3171" s="9"/>
      <c r="Z3171">
        <f>TRIM(A3171&amp;"")</f>
        <v/>
      </c>
      <c r="AA3171">
        <f>IF(Z3171="","",IF(MATCH(SUBSTITUTE(SUBSTITUTE(SUBSTITUTE(Z3171,"~","~~"),"*","~*"),"?","~?"),$Z$5:$Z$5004,0)=3167,MAX($AA$4:AA3170)+1,""))</f>
        <v/>
      </c>
    </row>
    <row r="3172" spans="1:27">
      <c r="A3172" s="9"/>
      <c r="Z3172">
        <f>TRIM(A3172&amp;"")</f>
        <v/>
      </c>
      <c r="AA3172">
        <f>IF(Z3172="","",IF(MATCH(SUBSTITUTE(SUBSTITUTE(SUBSTITUTE(Z3172,"~","~~"),"*","~*"),"?","~?"),$Z$5:$Z$5004,0)=3168,MAX($AA$4:AA3171)+1,""))</f>
        <v/>
      </c>
    </row>
    <row r="3173" spans="1:27">
      <c r="A3173" s="9"/>
      <c r="Z3173">
        <f>TRIM(A3173&amp;"")</f>
        <v/>
      </c>
      <c r="AA3173">
        <f>IF(Z3173="","",IF(MATCH(SUBSTITUTE(SUBSTITUTE(SUBSTITUTE(Z3173,"~","~~"),"*","~*"),"?","~?"),$Z$5:$Z$5004,0)=3169,MAX($AA$4:AA3172)+1,""))</f>
        <v/>
      </c>
    </row>
    <row r="3174" spans="1:27">
      <c r="A3174" s="9"/>
      <c r="Z3174">
        <f>TRIM(A3174&amp;"")</f>
        <v/>
      </c>
      <c r="AA3174">
        <f>IF(Z3174="","",IF(MATCH(SUBSTITUTE(SUBSTITUTE(SUBSTITUTE(Z3174,"~","~~"),"*","~*"),"?","~?"),$Z$5:$Z$5004,0)=3170,MAX($AA$4:AA3173)+1,""))</f>
        <v/>
      </c>
    </row>
    <row r="3175" spans="1:27">
      <c r="A3175" s="9"/>
      <c r="Z3175">
        <f>TRIM(A3175&amp;"")</f>
        <v/>
      </c>
      <c r="AA3175">
        <f>IF(Z3175="","",IF(MATCH(SUBSTITUTE(SUBSTITUTE(SUBSTITUTE(Z3175,"~","~~"),"*","~*"),"?","~?"),$Z$5:$Z$5004,0)=3171,MAX($AA$4:AA3174)+1,""))</f>
        <v/>
      </c>
    </row>
    <row r="3176" spans="1:27">
      <c r="A3176" s="9"/>
      <c r="Z3176">
        <f>TRIM(A3176&amp;"")</f>
        <v/>
      </c>
      <c r="AA3176">
        <f>IF(Z3176="","",IF(MATCH(SUBSTITUTE(SUBSTITUTE(SUBSTITUTE(Z3176,"~","~~"),"*","~*"),"?","~?"),$Z$5:$Z$5004,0)=3172,MAX($AA$4:AA3175)+1,""))</f>
        <v/>
      </c>
    </row>
    <row r="3177" spans="1:27">
      <c r="A3177" s="9"/>
      <c r="Z3177">
        <f>TRIM(A3177&amp;"")</f>
        <v/>
      </c>
      <c r="AA3177">
        <f>IF(Z3177="","",IF(MATCH(SUBSTITUTE(SUBSTITUTE(SUBSTITUTE(Z3177,"~","~~"),"*","~*"),"?","~?"),$Z$5:$Z$5004,0)=3173,MAX($AA$4:AA3176)+1,""))</f>
        <v/>
      </c>
    </row>
    <row r="3178" spans="1:27">
      <c r="A3178" s="9"/>
      <c r="Z3178">
        <f>TRIM(A3178&amp;"")</f>
        <v/>
      </c>
      <c r="AA3178">
        <f>IF(Z3178="","",IF(MATCH(SUBSTITUTE(SUBSTITUTE(SUBSTITUTE(Z3178,"~","~~"),"*","~*"),"?","~?"),$Z$5:$Z$5004,0)=3174,MAX($AA$4:AA3177)+1,""))</f>
        <v/>
      </c>
    </row>
    <row r="3179" spans="1:27">
      <c r="A3179" s="9"/>
      <c r="Z3179">
        <f>TRIM(A3179&amp;"")</f>
        <v/>
      </c>
      <c r="AA3179">
        <f>IF(Z3179="","",IF(MATCH(SUBSTITUTE(SUBSTITUTE(SUBSTITUTE(Z3179,"~","~~"),"*","~*"),"?","~?"),$Z$5:$Z$5004,0)=3175,MAX($AA$4:AA3178)+1,""))</f>
        <v/>
      </c>
    </row>
    <row r="3180" spans="1:27">
      <c r="A3180" s="9"/>
      <c r="Z3180">
        <f>TRIM(A3180&amp;"")</f>
        <v/>
      </c>
      <c r="AA3180">
        <f>IF(Z3180="","",IF(MATCH(SUBSTITUTE(SUBSTITUTE(SUBSTITUTE(Z3180,"~","~~"),"*","~*"),"?","~?"),$Z$5:$Z$5004,0)=3176,MAX($AA$4:AA3179)+1,""))</f>
        <v/>
      </c>
    </row>
    <row r="3181" spans="1:27">
      <c r="A3181" s="9"/>
      <c r="Z3181">
        <f>TRIM(A3181&amp;"")</f>
        <v/>
      </c>
      <c r="AA3181">
        <f>IF(Z3181="","",IF(MATCH(SUBSTITUTE(SUBSTITUTE(SUBSTITUTE(Z3181,"~","~~"),"*","~*"),"?","~?"),$Z$5:$Z$5004,0)=3177,MAX($AA$4:AA3180)+1,""))</f>
        <v/>
      </c>
    </row>
    <row r="3182" spans="1:27">
      <c r="A3182" s="9"/>
      <c r="Z3182">
        <f>TRIM(A3182&amp;"")</f>
        <v/>
      </c>
      <c r="AA3182">
        <f>IF(Z3182="","",IF(MATCH(SUBSTITUTE(SUBSTITUTE(SUBSTITUTE(Z3182,"~","~~"),"*","~*"),"?","~?"),$Z$5:$Z$5004,0)=3178,MAX($AA$4:AA3181)+1,""))</f>
        <v/>
      </c>
    </row>
    <row r="3183" spans="1:27">
      <c r="A3183" s="9"/>
      <c r="Z3183">
        <f>TRIM(A3183&amp;"")</f>
        <v/>
      </c>
      <c r="AA3183">
        <f>IF(Z3183="","",IF(MATCH(SUBSTITUTE(SUBSTITUTE(SUBSTITUTE(Z3183,"~","~~"),"*","~*"),"?","~?"),$Z$5:$Z$5004,0)=3179,MAX($AA$4:AA3182)+1,""))</f>
        <v/>
      </c>
    </row>
    <row r="3184" spans="1:27">
      <c r="A3184" s="9"/>
      <c r="Z3184">
        <f>TRIM(A3184&amp;"")</f>
        <v/>
      </c>
      <c r="AA3184">
        <f>IF(Z3184="","",IF(MATCH(SUBSTITUTE(SUBSTITUTE(SUBSTITUTE(Z3184,"~","~~"),"*","~*"),"?","~?"),$Z$5:$Z$5004,0)=3180,MAX($AA$4:AA3183)+1,""))</f>
        <v/>
      </c>
    </row>
    <row r="3185" spans="1:27">
      <c r="A3185" s="9"/>
      <c r="Z3185">
        <f>TRIM(A3185&amp;"")</f>
        <v/>
      </c>
      <c r="AA3185">
        <f>IF(Z3185="","",IF(MATCH(SUBSTITUTE(SUBSTITUTE(SUBSTITUTE(Z3185,"~","~~"),"*","~*"),"?","~?"),$Z$5:$Z$5004,0)=3181,MAX($AA$4:AA3184)+1,""))</f>
        <v/>
      </c>
    </row>
    <row r="3186" spans="1:27">
      <c r="A3186" s="9"/>
      <c r="Z3186">
        <f>TRIM(A3186&amp;"")</f>
        <v/>
      </c>
      <c r="AA3186">
        <f>IF(Z3186="","",IF(MATCH(SUBSTITUTE(SUBSTITUTE(SUBSTITUTE(Z3186,"~","~~"),"*","~*"),"?","~?"),$Z$5:$Z$5004,0)=3182,MAX($AA$4:AA3185)+1,""))</f>
        <v/>
      </c>
    </row>
    <row r="3187" spans="1:27">
      <c r="A3187" s="9"/>
      <c r="Z3187">
        <f>TRIM(A3187&amp;"")</f>
        <v/>
      </c>
      <c r="AA3187">
        <f>IF(Z3187="","",IF(MATCH(SUBSTITUTE(SUBSTITUTE(SUBSTITUTE(Z3187,"~","~~"),"*","~*"),"?","~?"),$Z$5:$Z$5004,0)=3183,MAX($AA$4:AA3186)+1,""))</f>
        <v/>
      </c>
    </row>
    <row r="3188" spans="1:27">
      <c r="A3188" s="9"/>
      <c r="Z3188">
        <f>TRIM(A3188&amp;"")</f>
        <v/>
      </c>
      <c r="AA3188">
        <f>IF(Z3188="","",IF(MATCH(SUBSTITUTE(SUBSTITUTE(SUBSTITUTE(Z3188,"~","~~"),"*","~*"),"?","~?"),$Z$5:$Z$5004,0)=3184,MAX($AA$4:AA3187)+1,""))</f>
        <v/>
      </c>
    </row>
    <row r="3189" spans="1:27">
      <c r="A3189" s="9"/>
      <c r="Z3189">
        <f>TRIM(A3189&amp;"")</f>
        <v/>
      </c>
      <c r="AA3189">
        <f>IF(Z3189="","",IF(MATCH(SUBSTITUTE(SUBSTITUTE(SUBSTITUTE(Z3189,"~","~~"),"*","~*"),"?","~?"),$Z$5:$Z$5004,0)=3185,MAX($AA$4:AA3188)+1,""))</f>
        <v/>
      </c>
    </row>
    <row r="3190" spans="1:27">
      <c r="A3190" s="9"/>
      <c r="Z3190">
        <f>TRIM(A3190&amp;"")</f>
        <v/>
      </c>
      <c r="AA3190">
        <f>IF(Z3190="","",IF(MATCH(SUBSTITUTE(SUBSTITUTE(SUBSTITUTE(Z3190,"~","~~"),"*","~*"),"?","~?"),$Z$5:$Z$5004,0)=3186,MAX($AA$4:AA3189)+1,""))</f>
        <v/>
      </c>
    </row>
    <row r="3191" spans="1:27">
      <c r="A3191" s="9"/>
      <c r="Z3191">
        <f>TRIM(A3191&amp;"")</f>
        <v/>
      </c>
      <c r="AA3191">
        <f>IF(Z3191="","",IF(MATCH(SUBSTITUTE(SUBSTITUTE(SUBSTITUTE(Z3191,"~","~~"),"*","~*"),"?","~?"),$Z$5:$Z$5004,0)=3187,MAX($AA$4:AA3190)+1,""))</f>
        <v/>
      </c>
    </row>
    <row r="3192" spans="1:27">
      <c r="A3192" s="9"/>
      <c r="Z3192">
        <f>TRIM(A3192&amp;"")</f>
        <v/>
      </c>
      <c r="AA3192">
        <f>IF(Z3192="","",IF(MATCH(SUBSTITUTE(SUBSTITUTE(SUBSTITUTE(Z3192,"~","~~"),"*","~*"),"?","~?"),$Z$5:$Z$5004,0)=3188,MAX($AA$4:AA3191)+1,""))</f>
        <v/>
      </c>
    </row>
    <row r="3193" spans="1:27">
      <c r="A3193" s="9"/>
      <c r="Z3193">
        <f>TRIM(A3193&amp;"")</f>
        <v/>
      </c>
      <c r="AA3193">
        <f>IF(Z3193="","",IF(MATCH(SUBSTITUTE(SUBSTITUTE(SUBSTITUTE(Z3193,"~","~~"),"*","~*"),"?","~?"),$Z$5:$Z$5004,0)=3189,MAX($AA$4:AA3192)+1,""))</f>
        <v/>
      </c>
    </row>
    <row r="3194" spans="1:27">
      <c r="A3194" s="9"/>
      <c r="Z3194">
        <f>TRIM(A3194&amp;"")</f>
        <v/>
      </c>
      <c r="AA3194">
        <f>IF(Z3194="","",IF(MATCH(SUBSTITUTE(SUBSTITUTE(SUBSTITUTE(Z3194,"~","~~"),"*","~*"),"?","~?"),$Z$5:$Z$5004,0)=3190,MAX($AA$4:AA3193)+1,""))</f>
        <v/>
      </c>
    </row>
    <row r="3195" spans="1:27">
      <c r="A3195" s="9"/>
      <c r="Z3195">
        <f>TRIM(A3195&amp;"")</f>
        <v/>
      </c>
      <c r="AA3195">
        <f>IF(Z3195="","",IF(MATCH(SUBSTITUTE(SUBSTITUTE(SUBSTITUTE(Z3195,"~","~~"),"*","~*"),"?","~?"),$Z$5:$Z$5004,0)=3191,MAX($AA$4:AA3194)+1,""))</f>
        <v/>
      </c>
    </row>
    <row r="3196" spans="1:27">
      <c r="A3196" s="9"/>
      <c r="Z3196">
        <f>TRIM(A3196&amp;"")</f>
        <v/>
      </c>
      <c r="AA3196">
        <f>IF(Z3196="","",IF(MATCH(SUBSTITUTE(SUBSTITUTE(SUBSTITUTE(Z3196,"~","~~"),"*","~*"),"?","~?"),$Z$5:$Z$5004,0)=3192,MAX($AA$4:AA3195)+1,""))</f>
        <v/>
      </c>
    </row>
    <row r="3197" spans="1:27">
      <c r="A3197" s="9"/>
      <c r="Z3197">
        <f>TRIM(A3197&amp;"")</f>
        <v/>
      </c>
      <c r="AA3197">
        <f>IF(Z3197="","",IF(MATCH(SUBSTITUTE(SUBSTITUTE(SUBSTITUTE(Z3197,"~","~~"),"*","~*"),"?","~?"),$Z$5:$Z$5004,0)=3193,MAX($AA$4:AA3196)+1,""))</f>
        <v/>
      </c>
    </row>
    <row r="3198" spans="1:27">
      <c r="A3198" s="9"/>
      <c r="Z3198">
        <f>TRIM(A3198&amp;"")</f>
        <v/>
      </c>
      <c r="AA3198">
        <f>IF(Z3198="","",IF(MATCH(SUBSTITUTE(SUBSTITUTE(SUBSTITUTE(Z3198,"~","~~"),"*","~*"),"?","~?"),$Z$5:$Z$5004,0)=3194,MAX($AA$4:AA3197)+1,""))</f>
        <v/>
      </c>
    </row>
    <row r="3199" spans="1:27">
      <c r="A3199" s="9"/>
      <c r="Z3199">
        <f>TRIM(A3199&amp;"")</f>
        <v/>
      </c>
      <c r="AA3199">
        <f>IF(Z3199="","",IF(MATCH(SUBSTITUTE(SUBSTITUTE(SUBSTITUTE(Z3199,"~","~~"),"*","~*"),"?","~?"),$Z$5:$Z$5004,0)=3195,MAX($AA$4:AA3198)+1,""))</f>
        <v/>
      </c>
    </row>
    <row r="3200" spans="1:27">
      <c r="A3200" s="9"/>
      <c r="Z3200">
        <f>TRIM(A3200&amp;"")</f>
        <v/>
      </c>
      <c r="AA3200">
        <f>IF(Z3200="","",IF(MATCH(SUBSTITUTE(SUBSTITUTE(SUBSTITUTE(Z3200,"~","~~"),"*","~*"),"?","~?"),$Z$5:$Z$5004,0)=3196,MAX($AA$4:AA3199)+1,""))</f>
        <v/>
      </c>
    </row>
    <row r="3201" spans="1:27">
      <c r="A3201" s="9"/>
      <c r="Z3201">
        <f>TRIM(A3201&amp;"")</f>
        <v/>
      </c>
      <c r="AA3201">
        <f>IF(Z3201="","",IF(MATCH(SUBSTITUTE(SUBSTITUTE(SUBSTITUTE(Z3201,"~","~~"),"*","~*"),"?","~?"),$Z$5:$Z$5004,0)=3197,MAX($AA$4:AA3200)+1,""))</f>
        <v/>
      </c>
    </row>
    <row r="3202" spans="1:27">
      <c r="A3202" s="9"/>
      <c r="Z3202">
        <f>TRIM(A3202&amp;"")</f>
        <v/>
      </c>
      <c r="AA3202">
        <f>IF(Z3202="","",IF(MATCH(SUBSTITUTE(SUBSTITUTE(SUBSTITUTE(Z3202,"~","~~"),"*","~*"),"?","~?"),$Z$5:$Z$5004,0)=3198,MAX($AA$4:AA3201)+1,""))</f>
        <v/>
      </c>
    </row>
    <row r="3203" spans="1:27">
      <c r="A3203" s="9"/>
      <c r="Z3203">
        <f>TRIM(A3203&amp;"")</f>
        <v/>
      </c>
      <c r="AA3203">
        <f>IF(Z3203="","",IF(MATCH(SUBSTITUTE(SUBSTITUTE(SUBSTITUTE(Z3203,"~","~~"),"*","~*"),"?","~?"),$Z$5:$Z$5004,0)=3199,MAX($AA$4:AA3202)+1,""))</f>
        <v/>
      </c>
    </row>
    <row r="3204" spans="1:27">
      <c r="A3204" s="9"/>
      <c r="Z3204">
        <f>TRIM(A3204&amp;"")</f>
        <v/>
      </c>
      <c r="AA3204">
        <f>IF(Z3204="","",IF(MATCH(SUBSTITUTE(SUBSTITUTE(SUBSTITUTE(Z3204,"~","~~"),"*","~*"),"?","~?"),$Z$5:$Z$5004,0)=3200,MAX($AA$4:AA3203)+1,""))</f>
        <v/>
      </c>
    </row>
    <row r="3205" spans="1:27">
      <c r="A3205" s="9"/>
      <c r="Z3205">
        <f>TRIM(A3205&amp;"")</f>
        <v/>
      </c>
      <c r="AA3205">
        <f>IF(Z3205="","",IF(MATCH(SUBSTITUTE(SUBSTITUTE(SUBSTITUTE(Z3205,"~","~~"),"*","~*"),"?","~?"),$Z$5:$Z$5004,0)=3201,MAX($AA$4:AA3204)+1,""))</f>
        <v/>
      </c>
    </row>
    <row r="3206" spans="1:27">
      <c r="A3206" s="9"/>
      <c r="Z3206">
        <f>TRIM(A3206&amp;"")</f>
        <v/>
      </c>
      <c r="AA3206">
        <f>IF(Z3206="","",IF(MATCH(SUBSTITUTE(SUBSTITUTE(SUBSTITUTE(Z3206,"~","~~"),"*","~*"),"?","~?"),$Z$5:$Z$5004,0)=3202,MAX($AA$4:AA3205)+1,""))</f>
        <v/>
      </c>
    </row>
    <row r="3207" spans="1:27">
      <c r="A3207" s="9"/>
      <c r="Z3207">
        <f>TRIM(A3207&amp;"")</f>
        <v/>
      </c>
      <c r="AA3207">
        <f>IF(Z3207="","",IF(MATCH(SUBSTITUTE(SUBSTITUTE(SUBSTITUTE(Z3207,"~","~~"),"*","~*"),"?","~?"),$Z$5:$Z$5004,0)=3203,MAX($AA$4:AA3206)+1,""))</f>
        <v/>
      </c>
    </row>
    <row r="3208" spans="1:27">
      <c r="A3208" s="9"/>
      <c r="Z3208">
        <f>TRIM(A3208&amp;"")</f>
        <v/>
      </c>
      <c r="AA3208">
        <f>IF(Z3208="","",IF(MATCH(SUBSTITUTE(SUBSTITUTE(SUBSTITUTE(Z3208,"~","~~"),"*","~*"),"?","~?"),$Z$5:$Z$5004,0)=3204,MAX($AA$4:AA3207)+1,""))</f>
        <v/>
      </c>
    </row>
    <row r="3209" spans="1:27">
      <c r="A3209" s="9"/>
      <c r="Z3209">
        <f>TRIM(A3209&amp;"")</f>
        <v/>
      </c>
      <c r="AA3209">
        <f>IF(Z3209="","",IF(MATCH(SUBSTITUTE(SUBSTITUTE(SUBSTITUTE(Z3209,"~","~~"),"*","~*"),"?","~?"),$Z$5:$Z$5004,0)=3205,MAX($AA$4:AA3208)+1,""))</f>
        <v/>
      </c>
    </row>
    <row r="3210" spans="1:27">
      <c r="A3210" s="9"/>
      <c r="Z3210">
        <f>TRIM(A3210&amp;"")</f>
        <v/>
      </c>
      <c r="AA3210">
        <f>IF(Z3210="","",IF(MATCH(SUBSTITUTE(SUBSTITUTE(SUBSTITUTE(Z3210,"~","~~"),"*","~*"),"?","~?"),$Z$5:$Z$5004,0)=3206,MAX($AA$4:AA3209)+1,""))</f>
        <v/>
      </c>
    </row>
    <row r="3211" spans="1:27">
      <c r="A3211" s="9"/>
      <c r="Z3211">
        <f>TRIM(A3211&amp;"")</f>
        <v/>
      </c>
      <c r="AA3211">
        <f>IF(Z3211="","",IF(MATCH(SUBSTITUTE(SUBSTITUTE(SUBSTITUTE(Z3211,"~","~~"),"*","~*"),"?","~?"),$Z$5:$Z$5004,0)=3207,MAX($AA$4:AA3210)+1,""))</f>
        <v/>
      </c>
    </row>
    <row r="3212" spans="1:27">
      <c r="A3212" s="9"/>
      <c r="Z3212">
        <f>TRIM(A3212&amp;"")</f>
        <v/>
      </c>
      <c r="AA3212">
        <f>IF(Z3212="","",IF(MATCH(SUBSTITUTE(SUBSTITUTE(SUBSTITUTE(Z3212,"~","~~"),"*","~*"),"?","~?"),$Z$5:$Z$5004,0)=3208,MAX($AA$4:AA3211)+1,""))</f>
        <v/>
      </c>
    </row>
    <row r="3213" spans="1:27">
      <c r="A3213" s="9"/>
      <c r="Z3213">
        <f>TRIM(A3213&amp;"")</f>
        <v/>
      </c>
      <c r="AA3213">
        <f>IF(Z3213="","",IF(MATCH(SUBSTITUTE(SUBSTITUTE(SUBSTITUTE(Z3213,"~","~~"),"*","~*"),"?","~?"),$Z$5:$Z$5004,0)=3209,MAX($AA$4:AA3212)+1,""))</f>
        <v/>
      </c>
    </row>
    <row r="3214" spans="1:27">
      <c r="A3214" s="9"/>
      <c r="Z3214">
        <f>TRIM(A3214&amp;"")</f>
        <v/>
      </c>
      <c r="AA3214">
        <f>IF(Z3214="","",IF(MATCH(SUBSTITUTE(SUBSTITUTE(SUBSTITUTE(Z3214,"~","~~"),"*","~*"),"?","~?"),$Z$5:$Z$5004,0)=3210,MAX($AA$4:AA3213)+1,""))</f>
        <v/>
      </c>
    </row>
    <row r="3215" spans="1:27">
      <c r="A3215" s="9"/>
      <c r="Z3215">
        <f>TRIM(A3215&amp;"")</f>
        <v/>
      </c>
      <c r="AA3215">
        <f>IF(Z3215="","",IF(MATCH(SUBSTITUTE(SUBSTITUTE(SUBSTITUTE(Z3215,"~","~~"),"*","~*"),"?","~?"),$Z$5:$Z$5004,0)=3211,MAX($AA$4:AA3214)+1,""))</f>
        <v/>
      </c>
    </row>
    <row r="3216" spans="1:27">
      <c r="A3216" s="9"/>
      <c r="Z3216">
        <f>TRIM(A3216&amp;"")</f>
        <v/>
      </c>
      <c r="AA3216">
        <f>IF(Z3216="","",IF(MATCH(SUBSTITUTE(SUBSTITUTE(SUBSTITUTE(Z3216,"~","~~"),"*","~*"),"?","~?"),$Z$5:$Z$5004,0)=3212,MAX($AA$4:AA3215)+1,""))</f>
        <v/>
      </c>
    </row>
    <row r="3217" spans="1:27">
      <c r="A3217" s="9"/>
      <c r="Z3217">
        <f>TRIM(A3217&amp;"")</f>
        <v/>
      </c>
      <c r="AA3217">
        <f>IF(Z3217="","",IF(MATCH(SUBSTITUTE(SUBSTITUTE(SUBSTITUTE(Z3217,"~","~~"),"*","~*"),"?","~?"),$Z$5:$Z$5004,0)=3213,MAX($AA$4:AA3216)+1,""))</f>
        <v/>
      </c>
    </row>
    <row r="3218" spans="1:27">
      <c r="A3218" s="9"/>
      <c r="Z3218">
        <f>TRIM(A3218&amp;"")</f>
        <v/>
      </c>
      <c r="AA3218">
        <f>IF(Z3218="","",IF(MATCH(SUBSTITUTE(SUBSTITUTE(SUBSTITUTE(Z3218,"~","~~"),"*","~*"),"?","~?"),$Z$5:$Z$5004,0)=3214,MAX($AA$4:AA3217)+1,""))</f>
        <v/>
      </c>
    </row>
    <row r="3219" spans="1:27">
      <c r="A3219" s="9"/>
      <c r="Z3219">
        <f>TRIM(A3219&amp;"")</f>
        <v/>
      </c>
      <c r="AA3219">
        <f>IF(Z3219="","",IF(MATCH(SUBSTITUTE(SUBSTITUTE(SUBSTITUTE(Z3219,"~","~~"),"*","~*"),"?","~?"),$Z$5:$Z$5004,0)=3215,MAX($AA$4:AA3218)+1,""))</f>
        <v/>
      </c>
    </row>
    <row r="3220" spans="1:27">
      <c r="A3220" s="9"/>
      <c r="Z3220">
        <f>TRIM(A3220&amp;"")</f>
        <v/>
      </c>
      <c r="AA3220">
        <f>IF(Z3220="","",IF(MATCH(SUBSTITUTE(SUBSTITUTE(SUBSTITUTE(Z3220,"~","~~"),"*","~*"),"?","~?"),$Z$5:$Z$5004,0)=3216,MAX($AA$4:AA3219)+1,""))</f>
        <v/>
      </c>
    </row>
    <row r="3221" spans="1:27">
      <c r="A3221" s="9"/>
      <c r="Z3221">
        <f>TRIM(A3221&amp;"")</f>
        <v/>
      </c>
      <c r="AA3221">
        <f>IF(Z3221="","",IF(MATCH(SUBSTITUTE(SUBSTITUTE(SUBSTITUTE(Z3221,"~","~~"),"*","~*"),"?","~?"),$Z$5:$Z$5004,0)=3217,MAX($AA$4:AA3220)+1,""))</f>
        <v/>
      </c>
    </row>
    <row r="3222" spans="1:27">
      <c r="A3222" s="9"/>
      <c r="Z3222">
        <f>TRIM(A3222&amp;"")</f>
        <v/>
      </c>
      <c r="AA3222">
        <f>IF(Z3222="","",IF(MATCH(SUBSTITUTE(SUBSTITUTE(SUBSTITUTE(Z3222,"~","~~"),"*","~*"),"?","~?"),$Z$5:$Z$5004,0)=3218,MAX($AA$4:AA3221)+1,""))</f>
        <v/>
      </c>
    </row>
    <row r="3223" spans="1:27">
      <c r="A3223" s="9"/>
      <c r="Z3223">
        <f>TRIM(A3223&amp;"")</f>
        <v/>
      </c>
      <c r="AA3223">
        <f>IF(Z3223="","",IF(MATCH(SUBSTITUTE(SUBSTITUTE(SUBSTITUTE(Z3223,"~","~~"),"*","~*"),"?","~?"),$Z$5:$Z$5004,0)=3219,MAX($AA$4:AA3222)+1,""))</f>
        <v/>
      </c>
    </row>
    <row r="3224" spans="1:27">
      <c r="A3224" s="9"/>
      <c r="Z3224">
        <f>TRIM(A3224&amp;"")</f>
        <v/>
      </c>
      <c r="AA3224">
        <f>IF(Z3224="","",IF(MATCH(SUBSTITUTE(SUBSTITUTE(SUBSTITUTE(Z3224,"~","~~"),"*","~*"),"?","~?"),$Z$5:$Z$5004,0)=3220,MAX($AA$4:AA3223)+1,""))</f>
        <v/>
      </c>
    </row>
    <row r="3225" spans="1:27">
      <c r="A3225" s="9"/>
      <c r="Z3225">
        <f>TRIM(A3225&amp;"")</f>
        <v/>
      </c>
      <c r="AA3225">
        <f>IF(Z3225="","",IF(MATCH(SUBSTITUTE(SUBSTITUTE(SUBSTITUTE(Z3225,"~","~~"),"*","~*"),"?","~?"),$Z$5:$Z$5004,0)=3221,MAX($AA$4:AA3224)+1,""))</f>
        <v/>
      </c>
    </row>
    <row r="3226" spans="1:27">
      <c r="A3226" s="9"/>
      <c r="Z3226">
        <f>TRIM(A3226&amp;"")</f>
        <v/>
      </c>
      <c r="AA3226">
        <f>IF(Z3226="","",IF(MATCH(SUBSTITUTE(SUBSTITUTE(SUBSTITUTE(Z3226,"~","~~"),"*","~*"),"?","~?"),$Z$5:$Z$5004,0)=3222,MAX($AA$4:AA3225)+1,""))</f>
        <v/>
      </c>
    </row>
    <row r="3227" spans="1:27">
      <c r="A3227" s="9"/>
      <c r="Z3227">
        <f>TRIM(A3227&amp;"")</f>
        <v/>
      </c>
      <c r="AA3227">
        <f>IF(Z3227="","",IF(MATCH(SUBSTITUTE(SUBSTITUTE(SUBSTITUTE(Z3227,"~","~~"),"*","~*"),"?","~?"),$Z$5:$Z$5004,0)=3223,MAX($AA$4:AA3226)+1,""))</f>
        <v/>
      </c>
    </row>
    <row r="3228" spans="1:27">
      <c r="A3228" s="9"/>
      <c r="Z3228">
        <f>TRIM(A3228&amp;"")</f>
        <v/>
      </c>
      <c r="AA3228">
        <f>IF(Z3228="","",IF(MATCH(SUBSTITUTE(SUBSTITUTE(SUBSTITUTE(Z3228,"~","~~"),"*","~*"),"?","~?"),$Z$5:$Z$5004,0)=3224,MAX($AA$4:AA3227)+1,""))</f>
        <v/>
      </c>
    </row>
    <row r="3229" spans="1:27">
      <c r="A3229" s="9"/>
      <c r="Z3229">
        <f>TRIM(A3229&amp;"")</f>
        <v/>
      </c>
      <c r="AA3229">
        <f>IF(Z3229="","",IF(MATCH(SUBSTITUTE(SUBSTITUTE(SUBSTITUTE(Z3229,"~","~~"),"*","~*"),"?","~?"),$Z$5:$Z$5004,0)=3225,MAX($AA$4:AA3228)+1,""))</f>
        <v/>
      </c>
    </row>
    <row r="3230" spans="1:27">
      <c r="A3230" s="9"/>
      <c r="Z3230">
        <f>TRIM(A3230&amp;"")</f>
        <v/>
      </c>
      <c r="AA3230">
        <f>IF(Z3230="","",IF(MATCH(SUBSTITUTE(SUBSTITUTE(SUBSTITUTE(Z3230,"~","~~"),"*","~*"),"?","~?"),$Z$5:$Z$5004,0)=3226,MAX($AA$4:AA3229)+1,""))</f>
        <v/>
      </c>
    </row>
    <row r="3231" spans="1:27">
      <c r="A3231" s="9"/>
      <c r="Z3231">
        <f>TRIM(A3231&amp;"")</f>
        <v/>
      </c>
      <c r="AA3231">
        <f>IF(Z3231="","",IF(MATCH(SUBSTITUTE(SUBSTITUTE(SUBSTITUTE(Z3231,"~","~~"),"*","~*"),"?","~?"),$Z$5:$Z$5004,0)=3227,MAX($AA$4:AA3230)+1,""))</f>
        <v/>
      </c>
    </row>
    <row r="3232" spans="1:27">
      <c r="A3232" s="9"/>
      <c r="Z3232">
        <f>TRIM(A3232&amp;"")</f>
        <v/>
      </c>
      <c r="AA3232">
        <f>IF(Z3232="","",IF(MATCH(SUBSTITUTE(SUBSTITUTE(SUBSTITUTE(Z3232,"~","~~"),"*","~*"),"?","~?"),$Z$5:$Z$5004,0)=3228,MAX($AA$4:AA3231)+1,""))</f>
        <v/>
      </c>
    </row>
    <row r="3233" spans="1:27">
      <c r="A3233" s="9"/>
      <c r="Z3233">
        <f>TRIM(A3233&amp;"")</f>
        <v/>
      </c>
      <c r="AA3233">
        <f>IF(Z3233="","",IF(MATCH(SUBSTITUTE(SUBSTITUTE(SUBSTITUTE(Z3233,"~","~~"),"*","~*"),"?","~?"),$Z$5:$Z$5004,0)=3229,MAX($AA$4:AA3232)+1,""))</f>
        <v/>
      </c>
    </row>
    <row r="3234" spans="1:27">
      <c r="A3234" s="9"/>
      <c r="Z3234">
        <f>TRIM(A3234&amp;"")</f>
        <v/>
      </c>
      <c r="AA3234">
        <f>IF(Z3234="","",IF(MATCH(SUBSTITUTE(SUBSTITUTE(SUBSTITUTE(Z3234,"~","~~"),"*","~*"),"?","~?"),$Z$5:$Z$5004,0)=3230,MAX($AA$4:AA3233)+1,""))</f>
        <v/>
      </c>
    </row>
    <row r="3235" spans="1:27">
      <c r="A3235" s="9"/>
      <c r="Z3235">
        <f>TRIM(A3235&amp;"")</f>
        <v/>
      </c>
      <c r="AA3235">
        <f>IF(Z3235="","",IF(MATCH(SUBSTITUTE(SUBSTITUTE(SUBSTITUTE(Z3235,"~","~~"),"*","~*"),"?","~?"),$Z$5:$Z$5004,0)=3231,MAX($AA$4:AA3234)+1,""))</f>
        <v/>
      </c>
    </row>
    <row r="3236" spans="1:27">
      <c r="A3236" s="9"/>
      <c r="Z3236">
        <f>TRIM(A3236&amp;"")</f>
        <v/>
      </c>
      <c r="AA3236">
        <f>IF(Z3236="","",IF(MATCH(SUBSTITUTE(SUBSTITUTE(SUBSTITUTE(Z3236,"~","~~"),"*","~*"),"?","~?"),$Z$5:$Z$5004,0)=3232,MAX($AA$4:AA3235)+1,""))</f>
        <v/>
      </c>
    </row>
    <row r="3237" spans="1:27">
      <c r="A3237" s="9"/>
      <c r="Z3237">
        <f>TRIM(A3237&amp;"")</f>
        <v/>
      </c>
      <c r="AA3237">
        <f>IF(Z3237="","",IF(MATCH(SUBSTITUTE(SUBSTITUTE(SUBSTITUTE(Z3237,"~","~~"),"*","~*"),"?","~?"),$Z$5:$Z$5004,0)=3233,MAX($AA$4:AA3236)+1,""))</f>
        <v/>
      </c>
    </row>
    <row r="3238" spans="1:27">
      <c r="A3238" s="9"/>
      <c r="Z3238">
        <f>TRIM(A3238&amp;"")</f>
        <v/>
      </c>
      <c r="AA3238">
        <f>IF(Z3238="","",IF(MATCH(SUBSTITUTE(SUBSTITUTE(SUBSTITUTE(Z3238,"~","~~"),"*","~*"),"?","~?"),$Z$5:$Z$5004,0)=3234,MAX($AA$4:AA3237)+1,""))</f>
        <v/>
      </c>
    </row>
    <row r="3239" spans="1:27">
      <c r="A3239" s="9"/>
      <c r="Z3239">
        <f>TRIM(A3239&amp;"")</f>
        <v/>
      </c>
      <c r="AA3239">
        <f>IF(Z3239="","",IF(MATCH(SUBSTITUTE(SUBSTITUTE(SUBSTITUTE(Z3239,"~","~~"),"*","~*"),"?","~?"),$Z$5:$Z$5004,0)=3235,MAX($AA$4:AA3238)+1,""))</f>
        <v/>
      </c>
    </row>
    <row r="3240" spans="1:27">
      <c r="A3240" s="9"/>
      <c r="Z3240">
        <f>TRIM(A3240&amp;"")</f>
        <v/>
      </c>
      <c r="AA3240">
        <f>IF(Z3240="","",IF(MATCH(SUBSTITUTE(SUBSTITUTE(SUBSTITUTE(Z3240,"~","~~"),"*","~*"),"?","~?"),$Z$5:$Z$5004,0)=3236,MAX($AA$4:AA3239)+1,""))</f>
        <v/>
      </c>
    </row>
    <row r="3241" spans="1:27">
      <c r="A3241" s="9"/>
      <c r="Z3241">
        <f>TRIM(A3241&amp;"")</f>
        <v/>
      </c>
      <c r="AA3241">
        <f>IF(Z3241="","",IF(MATCH(SUBSTITUTE(SUBSTITUTE(SUBSTITUTE(Z3241,"~","~~"),"*","~*"),"?","~?"),$Z$5:$Z$5004,0)=3237,MAX($AA$4:AA3240)+1,""))</f>
        <v/>
      </c>
    </row>
    <row r="3242" spans="1:27">
      <c r="A3242" s="9"/>
      <c r="Z3242">
        <f>TRIM(A3242&amp;"")</f>
        <v/>
      </c>
      <c r="AA3242">
        <f>IF(Z3242="","",IF(MATCH(SUBSTITUTE(SUBSTITUTE(SUBSTITUTE(Z3242,"~","~~"),"*","~*"),"?","~?"),$Z$5:$Z$5004,0)=3238,MAX($AA$4:AA3241)+1,""))</f>
        <v/>
      </c>
    </row>
    <row r="3243" spans="1:27">
      <c r="A3243" s="9"/>
      <c r="Z3243">
        <f>TRIM(A3243&amp;"")</f>
        <v/>
      </c>
      <c r="AA3243">
        <f>IF(Z3243="","",IF(MATCH(SUBSTITUTE(SUBSTITUTE(SUBSTITUTE(Z3243,"~","~~"),"*","~*"),"?","~?"),$Z$5:$Z$5004,0)=3239,MAX($AA$4:AA3242)+1,""))</f>
        <v/>
      </c>
    </row>
    <row r="3244" spans="1:27">
      <c r="A3244" s="9"/>
      <c r="Z3244">
        <f>TRIM(A3244&amp;"")</f>
        <v/>
      </c>
      <c r="AA3244">
        <f>IF(Z3244="","",IF(MATCH(SUBSTITUTE(SUBSTITUTE(SUBSTITUTE(Z3244,"~","~~"),"*","~*"),"?","~?"),$Z$5:$Z$5004,0)=3240,MAX($AA$4:AA3243)+1,""))</f>
        <v/>
      </c>
    </row>
    <row r="3245" spans="1:27">
      <c r="A3245" s="9"/>
      <c r="Z3245">
        <f>TRIM(A3245&amp;"")</f>
        <v/>
      </c>
      <c r="AA3245">
        <f>IF(Z3245="","",IF(MATCH(SUBSTITUTE(SUBSTITUTE(SUBSTITUTE(Z3245,"~","~~"),"*","~*"),"?","~?"),$Z$5:$Z$5004,0)=3241,MAX($AA$4:AA3244)+1,""))</f>
        <v/>
      </c>
    </row>
    <row r="3246" spans="1:27">
      <c r="A3246" s="9"/>
      <c r="Z3246">
        <f>TRIM(A3246&amp;"")</f>
        <v/>
      </c>
      <c r="AA3246">
        <f>IF(Z3246="","",IF(MATCH(SUBSTITUTE(SUBSTITUTE(SUBSTITUTE(Z3246,"~","~~"),"*","~*"),"?","~?"),$Z$5:$Z$5004,0)=3242,MAX($AA$4:AA3245)+1,""))</f>
        <v/>
      </c>
    </row>
    <row r="3247" spans="1:27">
      <c r="A3247" s="9"/>
      <c r="Z3247">
        <f>TRIM(A3247&amp;"")</f>
        <v/>
      </c>
      <c r="AA3247">
        <f>IF(Z3247="","",IF(MATCH(SUBSTITUTE(SUBSTITUTE(SUBSTITUTE(Z3247,"~","~~"),"*","~*"),"?","~?"),$Z$5:$Z$5004,0)=3243,MAX($AA$4:AA3246)+1,""))</f>
        <v/>
      </c>
    </row>
    <row r="3248" spans="1:27">
      <c r="A3248" s="9"/>
      <c r="Z3248">
        <f>TRIM(A3248&amp;"")</f>
        <v/>
      </c>
      <c r="AA3248">
        <f>IF(Z3248="","",IF(MATCH(SUBSTITUTE(SUBSTITUTE(SUBSTITUTE(Z3248,"~","~~"),"*","~*"),"?","~?"),$Z$5:$Z$5004,0)=3244,MAX($AA$4:AA3247)+1,""))</f>
        <v/>
      </c>
    </row>
    <row r="3249" spans="1:27">
      <c r="A3249" s="9"/>
      <c r="Z3249">
        <f>TRIM(A3249&amp;"")</f>
        <v/>
      </c>
      <c r="AA3249">
        <f>IF(Z3249="","",IF(MATCH(SUBSTITUTE(SUBSTITUTE(SUBSTITUTE(Z3249,"~","~~"),"*","~*"),"?","~?"),$Z$5:$Z$5004,0)=3245,MAX($AA$4:AA3248)+1,""))</f>
        <v/>
      </c>
    </row>
    <row r="3250" spans="1:27">
      <c r="A3250" s="9"/>
      <c r="Z3250">
        <f>TRIM(A3250&amp;"")</f>
        <v/>
      </c>
      <c r="AA3250">
        <f>IF(Z3250="","",IF(MATCH(SUBSTITUTE(SUBSTITUTE(SUBSTITUTE(Z3250,"~","~~"),"*","~*"),"?","~?"),$Z$5:$Z$5004,0)=3246,MAX($AA$4:AA3249)+1,""))</f>
        <v/>
      </c>
    </row>
    <row r="3251" spans="1:27">
      <c r="A3251" s="9"/>
      <c r="Z3251">
        <f>TRIM(A3251&amp;"")</f>
        <v/>
      </c>
      <c r="AA3251">
        <f>IF(Z3251="","",IF(MATCH(SUBSTITUTE(SUBSTITUTE(SUBSTITUTE(Z3251,"~","~~"),"*","~*"),"?","~?"),$Z$5:$Z$5004,0)=3247,MAX($AA$4:AA3250)+1,""))</f>
        <v/>
      </c>
    </row>
    <row r="3252" spans="1:27">
      <c r="A3252" s="9"/>
      <c r="Z3252">
        <f>TRIM(A3252&amp;"")</f>
        <v/>
      </c>
      <c r="AA3252">
        <f>IF(Z3252="","",IF(MATCH(SUBSTITUTE(SUBSTITUTE(SUBSTITUTE(Z3252,"~","~~"),"*","~*"),"?","~?"),$Z$5:$Z$5004,0)=3248,MAX($AA$4:AA3251)+1,""))</f>
        <v/>
      </c>
    </row>
    <row r="3253" spans="1:27">
      <c r="A3253" s="9"/>
      <c r="Z3253">
        <f>TRIM(A3253&amp;"")</f>
        <v/>
      </c>
      <c r="AA3253">
        <f>IF(Z3253="","",IF(MATCH(SUBSTITUTE(SUBSTITUTE(SUBSTITUTE(Z3253,"~","~~"),"*","~*"),"?","~?"),$Z$5:$Z$5004,0)=3249,MAX($AA$4:AA3252)+1,""))</f>
        <v/>
      </c>
    </row>
    <row r="3254" spans="1:27">
      <c r="A3254" s="9"/>
      <c r="Z3254">
        <f>TRIM(A3254&amp;"")</f>
        <v/>
      </c>
      <c r="AA3254">
        <f>IF(Z3254="","",IF(MATCH(SUBSTITUTE(SUBSTITUTE(SUBSTITUTE(Z3254,"~","~~"),"*","~*"),"?","~?"),$Z$5:$Z$5004,0)=3250,MAX($AA$4:AA3253)+1,""))</f>
        <v/>
      </c>
    </row>
    <row r="3255" spans="1:27">
      <c r="A3255" s="9"/>
      <c r="Z3255">
        <f>TRIM(A3255&amp;"")</f>
        <v/>
      </c>
      <c r="AA3255">
        <f>IF(Z3255="","",IF(MATCH(SUBSTITUTE(SUBSTITUTE(SUBSTITUTE(Z3255,"~","~~"),"*","~*"),"?","~?"),$Z$5:$Z$5004,0)=3251,MAX($AA$4:AA3254)+1,""))</f>
        <v/>
      </c>
    </row>
    <row r="3256" spans="1:27">
      <c r="A3256" s="9"/>
      <c r="Z3256">
        <f>TRIM(A3256&amp;"")</f>
        <v/>
      </c>
      <c r="AA3256">
        <f>IF(Z3256="","",IF(MATCH(SUBSTITUTE(SUBSTITUTE(SUBSTITUTE(Z3256,"~","~~"),"*","~*"),"?","~?"),$Z$5:$Z$5004,0)=3252,MAX($AA$4:AA3255)+1,""))</f>
        <v/>
      </c>
    </row>
    <row r="3257" spans="1:27">
      <c r="A3257" s="9"/>
      <c r="Z3257">
        <f>TRIM(A3257&amp;"")</f>
        <v/>
      </c>
      <c r="AA3257">
        <f>IF(Z3257="","",IF(MATCH(SUBSTITUTE(SUBSTITUTE(SUBSTITUTE(Z3257,"~","~~"),"*","~*"),"?","~?"),$Z$5:$Z$5004,0)=3253,MAX($AA$4:AA3256)+1,""))</f>
        <v/>
      </c>
    </row>
    <row r="3258" spans="1:27">
      <c r="A3258" s="9"/>
      <c r="Z3258">
        <f>TRIM(A3258&amp;"")</f>
        <v/>
      </c>
      <c r="AA3258">
        <f>IF(Z3258="","",IF(MATCH(SUBSTITUTE(SUBSTITUTE(SUBSTITUTE(Z3258,"~","~~"),"*","~*"),"?","~?"),$Z$5:$Z$5004,0)=3254,MAX($AA$4:AA3257)+1,""))</f>
        <v/>
      </c>
    </row>
    <row r="3259" spans="1:27">
      <c r="A3259" s="9"/>
      <c r="Z3259">
        <f>TRIM(A3259&amp;"")</f>
        <v/>
      </c>
      <c r="AA3259">
        <f>IF(Z3259="","",IF(MATCH(SUBSTITUTE(SUBSTITUTE(SUBSTITUTE(Z3259,"~","~~"),"*","~*"),"?","~?"),$Z$5:$Z$5004,0)=3255,MAX($AA$4:AA3258)+1,""))</f>
        <v/>
      </c>
    </row>
    <row r="3260" spans="1:27">
      <c r="A3260" s="9"/>
      <c r="Z3260">
        <f>TRIM(A3260&amp;"")</f>
        <v/>
      </c>
      <c r="AA3260">
        <f>IF(Z3260="","",IF(MATCH(SUBSTITUTE(SUBSTITUTE(SUBSTITUTE(Z3260,"~","~~"),"*","~*"),"?","~?"),$Z$5:$Z$5004,0)=3256,MAX($AA$4:AA3259)+1,""))</f>
        <v/>
      </c>
    </row>
    <row r="3261" spans="1:27">
      <c r="A3261" s="9"/>
      <c r="Z3261">
        <f>TRIM(A3261&amp;"")</f>
        <v/>
      </c>
      <c r="AA3261">
        <f>IF(Z3261="","",IF(MATCH(SUBSTITUTE(SUBSTITUTE(SUBSTITUTE(Z3261,"~","~~"),"*","~*"),"?","~?"),$Z$5:$Z$5004,0)=3257,MAX($AA$4:AA3260)+1,""))</f>
        <v/>
      </c>
    </row>
    <row r="3262" spans="1:27">
      <c r="A3262" s="9"/>
      <c r="Z3262">
        <f>TRIM(A3262&amp;"")</f>
        <v/>
      </c>
      <c r="AA3262">
        <f>IF(Z3262="","",IF(MATCH(SUBSTITUTE(SUBSTITUTE(SUBSTITUTE(Z3262,"~","~~"),"*","~*"),"?","~?"),$Z$5:$Z$5004,0)=3258,MAX($AA$4:AA3261)+1,""))</f>
        <v/>
      </c>
    </row>
    <row r="3263" spans="1:27">
      <c r="A3263" s="9"/>
      <c r="Z3263">
        <f>TRIM(A3263&amp;"")</f>
        <v/>
      </c>
      <c r="AA3263">
        <f>IF(Z3263="","",IF(MATCH(SUBSTITUTE(SUBSTITUTE(SUBSTITUTE(Z3263,"~","~~"),"*","~*"),"?","~?"),$Z$5:$Z$5004,0)=3259,MAX($AA$4:AA3262)+1,""))</f>
        <v/>
      </c>
    </row>
    <row r="3264" spans="1:27">
      <c r="A3264" s="9"/>
      <c r="Z3264">
        <f>TRIM(A3264&amp;"")</f>
        <v/>
      </c>
      <c r="AA3264">
        <f>IF(Z3264="","",IF(MATCH(SUBSTITUTE(SUBSTITUTE(SUBSTITUTE(Z3264,"~","~~"),"*","~*"),"?","~?"),$Z$5:$Z$5004,0)=3260,MAX($AA$4:AA3263)+1,""))</f>
        <v/>
      </c>
    </row>
    <row r="3265" spans="1:27">
      <c r="A3265" s="9"/>
      <c r="Z3265">
        <f>TRIM(A3265&amp;"")</f>
        <v/>
      </c>
      <c r="AA3265">
        <f>IF(Z3265="","",IF(MATCH(SUBSTITUTE(SUBSTITUTE(SUBSTITUTE(Z3265,"~","~~"),"*","~*"),"?","~?"),$Z$5:$Z$5004,0)=3261,MAX($AA$4:AA3264)+1,""))</f>
        <v/>
      </c>
    </row>
    <row r="3266" spans="1:27">
      <c r="A3266" s="9"/>
      <c r="Z3266">
        <f>TRIM(A3266&amp;"")</f>
        <v/>
      </c>
      <c r="AA3266">
        <f>IF(Z3266="","",IF(MATCH(SUBSTITUTE(SUBSTITUTE(SUBSTITUTE(Z3266,"~","~~"),"*","~*"),"?","~?"),$Z$5:$Z$5004,0)=3262,MAX($AA$4:AA3265)+1,""))</f>
        <v/>
      </c>
    </row>
    <row r="3267" spans="1:27">
      <c r="A3267" s="9"/>
      <c r="Z3267">
        <f>TRIM(A3267&amp;"")</f>
        <v/>
      </c>
      <c r="AA3267">
        <f>IF(Z3267="","",IF(MATCH(SUBSTITUTE(SUBSTITUTE(SUBSTITUTE(Z3267,"~","~~"),"*","~*"),"?","~?"),$Z$5:$Z$5004,0)=3263,MAX($AA$4:AA3266)+1,""))</f>
        <v/>
      </c>
    </row>
    <row r="3268" spans="1:27">
      <c r="A3268" s="9"/>
      <c r="Z3268">
        <f>TRIM(A3268&amp;"")</f>
        <v/>
      </c>
      <c r="AA3268">
        <f>IF(Z3268="","",IF(MATCH(SUBSTITUTE(SUBSTITUTE(SUBSTITUTE(Z3268,"~","~~"),"*","~*"),"?","~?"),$Z$5:$Z$5004,0)=3264,MAX($AA$4:AA3267)+1,""))</f>
        <v/>
      </c>
    </row>
    <row r="3269" spans="1:27">
      <c r="A3269" s="9"/>
      <c r="Z3269">
        <f>TRIM(A3269&amp;"")</f>
        <v/>
      </c>
      <c r="AA3269">
        <f>IF(Z3269="","",IF(MATCH(SUBSTITUTE(SUBSTITUTE(SUBSTITUTE(Z3269,"~","~~"),"*","~*"),"?","~?"),$Z$5:$Z$5004,0)=3265,MAX($AA$4:AA3268)+1,""))</f>
        <v/>
      </c>
    </row>
    <row r="3270" spans="1:27">
      <c r="A3270" s="9"/>
      <c r="Z3270">
        <f>TRIM(A3270&amp;"")</f>
        <v/>
      </c>
      <c r="AA3270">
        <f>IF(Z3270="","",IF(MATCH(SUBSTITUTE(SUBSTITUTE(SUBSTITUTE(Z3270,"~","~~"),"*","~*"),"?","~?"),$Z$5:$Z$5004,0)=3266,MAX($AA$4:AA3269)+1,""))</f>
        <v/>
      </c>
    </row>
    <row r="3271" spans="1:27">
      <c r="A3271" s="9"/>
      <c r="Z3271">
        <f>TRIM(A3271&amp;"")</f>
        <v/>
      </c>
      <c r="AA3271">
        <f>IF(Z3271="","",IF(MATCH(SUBSTITUTE(SUBSTITUTE(SUBSTITUTE(Z3271,"~","~~"),"*","~*"),"?","~?"),$Z$5:$Z$5004,0)=3267,MAX($AA$4:AA3270)+1,""))</f>
        <v/>
      </c>
    </row>
    <row r="3272" spans="1:27">
      <c r="A3272" s="9"/>
      <c r="Z3272">
        <f>TRIM(A3272&amp;"")</f>
        <v/>
      </c>
      <c r="AA3272">
        <f>IF(Z3272="","",IF(MATCH(SUBSTITUTE(SUBSTITUTE(SUBSTITUTE(Z3272,"~","~~"),"*","~*"),"?","~?"),$Z$5:$Z$5004,0)=3268,MAX($AA$4:AA3271)+1,""))</f>
        <v/>
      </c>
    </row>
    <row r="3273" spans="1:27">
      <c r="A3273" s="9"/>
      <c r="Z3273">
        <f>TRIM(A3273&amp;"")</f>
        <v/>
      </c>
      <c r="AA3273">
        <f>IF(Z3273="","",IF(MATCH(SUBSTITUTE(SUBSTITUTE(SUBSTITUTE(Z3273,"~","~~"),"*","~*"),"?","~?"),$Z$5:$Z$5004,0)=3269,MAX($AA$4:AA3272)+1,""))</f>
        <v/>
      </c>
    </row>
    <row r="3274" spans="1:27">
      <c r="A3274" s="9"/>
      <c r="Z3274">
        <f>TRIM(A3274&amp;"")</f>
        <v/>
      </c>
      <c r="AA3274">
        <f>IF(Z3274="","",IF(MATCH(SUBSTITUTE(SUBSTITUTE(SUBSTITUTE(Z3274,"~","~~"),"*","~*"),"?","~?"),$Z$5:$Z$5004,0)=3270,MAX($AA$4:AA3273)+1,""))</f>
        <v/>
      </c>
    </row>
    <row r="3275" spans="1:27">
      <c r="A3275" s="9"/>
      <c r="Z3275">
        <f>TRIM(A3275&amp;"")</f>
        <v/>
      </c>
      <c r="AA3275">
        <f>IF(Z3275="","",IF(MATCH(SUBSTITUTE(SUBSTITUTE(SUBSTITUTE(Z3275,"~","~~"),"*","~*"),"?","~?"),$Z$5:$Z$5004,0)=3271,MAX($AA$4:AA3274)+1,""))</f>
        <v/>
      </c>
    </row>
    <row r="3276" spans="1:27">
      <c r="A3276" s="9"/>
      <c r="Z3276">
        <f>TRIM(A3276&amp;"")</f>
        <v/>
      </c>
      <c r="AA3276">
        <f>IF(Z3276="","",IF(MATCH(SUBSTITUTE(SUBSTITUTE(SUBSTITUTE(Z3276,"~","~~"),"*","~*"),"?","~?"),$Z$5:$Z$5004,0)=3272,MAX($AA$4:AA3275)+1,""))</f>
        <v/>
      </c>
    </row>
    <row r="3277" spans="1:27">
      <c r="A3277" s="9"/>
      <c r="Z3277">
        <f>TRIM(A3277&amp;"")</f>
        <v/>
      </c>
      <c r="AA3277">
        <f>IF(Z3277="","",IF(MATCH(SUBSTITUTE(SUBSTITUTE(SUBSTITUTE(Z3277,"~","~~"),"*","~*"),"?","~?"),$Z$5:$Z$5004,0)=3273,MAX($AA$4:AA3276)+1,""))</f>
        <v/>
      </c>
    </row>
    <row r="3278" spans="1:27">
      <c r="A3278" s="9"/>
      <c r="Z3278">
        <f>TRIM(A3278&amp;"")</f>
        <v/>
      </c>
      <c r="AA3278">
        <f>IF(Z3278="","",IF(MATCH(SUBSTITUTE(SUBSTITUTE(SUBSTITUTE(Z3278,"~","~~"),"*","~*"),"?","~?"),$Z$5:$Z$5004,0)=3274,MAX($AA$4:AA3277)+1,""))</f>
        <v/>
      </c>
    </row>
    <row r="3279" spans="1:27">
      <c r="A3279" s="9"/>
      <c r="Z3279">
        <f>TRIM(A3279&amp;"")</f>
        <v/>
      </c>
      <c r="AA3279">
        <f>IF(Z3279="","",IF(MATCH(SUBSTITUTE(SUBSTITUTE(SUBSTITUTE(Z3279,"~","~~"),"*","~*"),"?","~?"),$Z$5:$Z$5004,0)=3275,MAX($AA$4:AA3278)+1,""))</f>
        <v/>
      </c>
    </row>
    <row r="3280" spans="1:27">
      <c r="A3280" s="9"/>
      <c r="Z3280">
        <f>TRIM(A3280&amp;"")</f>
        <v/>
      </c>
      <c r="AA3280">
        <f>IF(Z3280="","",IF(MATCH(SUBSTITUTE(SUBSTITUTE(SUBSTITUTE(Z3280,"~","~~"),"*","~*"),"?","~?"),$Z$5:$Z$5004,0)=3276,MAX($AA$4:AA3279)+1,""))</f>
        <v/>
      </c>
    </row>
    <row r="3281" spans="1:27">
      <c r="A3281" s="9"/>
      <c r="Z3281">
        <f>TRIM(A3281&amp;"")</f>
        <v/>
      </c>
      <c r="AA3281">
        <f>IF(Z3281="","",IF(MATCH(SUBSTITUTE(SUBSTITUTE(SUBSTITUTE(Z3281,"~","~~"),"*","~*"),"?","~?"),$Z$5:$Z$5004,0)=3277,MAX($AA$4:AA3280)+1,""))</f>
        <v/>
      </c>
    </row>
    <row r="3282" spans="1:27">
      <c r="A3282" s="9"/>
      <c r="Z3282">
        <f>TRIM(A3282&amp;"")</f>
        <v/>
      </c>
      <c r="AA3282">
        <f>IF(Z3282="","",IF(MATCH(SUBSTITUTE(SUBSTITUTE(SUBSTITUTE(Z3282,"~","~~"),"*","~*"),"?","~?"),$Z$5:$Z$5004,0)=3278,MAX($AA$4:AA3281)+1,""))</f>
        <v/>
      </c>
    </row>
    <row r="3283" spans="1:27">
      <c r="A3283" s="9"/>
      <c r="Z3283">
        <f>TRIM(A3283&amp;"")</f>
        <v/>
      </c>
      <c r="AA3283">
        <f>IF(Z3283="","",IF(MATCH(SUBSTITUTE(SUBSTITUTE(SUBSTITUTE(Z3283,"~","~~"),"*","~*"),"?","~?"),$Z$5:$Z$5004,0)=3279,MAX($AA$4:AA3282)+1,""))</f>
        <v/>
      </c>
    </row>
    <row r="3284" spans="1:27">
      <c r="A3284" s="9"/>
      <c r="Z3284">
        <f>TRIM(A3284&amp;"")</f>
        <v/>
      </c>
      <c r="AA3284">
        <f>IF(Z3284="","",IF(MATCH(SUBSTITUTE(SUBSTITUTE(SUBSTITUTE(Z3284,"~","~~"),"*","~*"),"?","~?"),$Z$5:$Z$5004,0)=3280,MAX($AA$4:AA3283)+1,""))</f>
        <v/>
      </c>
    </row>
    <row r="3285" spans="1:27">
      <c r="A3285" s="9"/>
      <c r="Z3285">
        <f>TRIM(A3285&amp;"")</f>
        <v/>
      </c>
      <c r="AA3285">
        <f>IF(Z3285="","",IF(MATCH(SUBSTITUTE(SUBSTITUTE(SUBSTITUTE(Z3285,"~","~~"),"*","~*"),"?","~?"),$Z$5:$Z$5004,0)=3281,MAX($AA$4:AA3284)+1,""))</f>
        <v/>
      </c>
    </row>
    <row r="3286" spans="1:27">
      <c r="A3286" s="9"/>
      <c r="Z3286">
        <f>TRIM(A3286&amp;"")</f>
        <v/>
      </c>
      <c r="AA3286">
        <f>IF(Z3286="","",IF(MATCH(SUBSTITUTE(SUBSTITUTE(SUBSTITUTE(Z3286,"~","~~"),"*","~*"),"?","~?"),$Z$5:$Z$5004,0)=3282,MAX($AA$4:AA3285)+1,""))</f>
        <v/>
      </c>
    </row>
    <row r="3287" spans="1:27">
      <c r="A3287" s="9"/>
      <c r="Z3287">
        <f>TRIM(A3287&amp;"")</f>
        <v/>
      </c>
      <c r="AA3287">
        <f>IF(Z3287="","",IF(MATCH(SUBSTITUTE(SUBSTITUTE(SUBSTITUTE(Z3287,"~","~~"),"*","~*"),"?","~?"),$Z$5:$Z$5004,0)=3283,MAX($AA$4:AA3286)+1,""))</f>
        <v/>
      </c>
    </row>
    <row r="3288" spans="1:27">
      <c r="A3288" s="9"/>
      <c r="Z3288">
        <f>TRIM(A3288&amp;"")</f>
        <v/>
      </c>
      <c r="AA3288">
        <f>IF(Z3288="","",IF(MATCH(SUBSTITUTE(SUBSTITUTE(SUBSTITUTE(Z3288,"~","~~"),"*","~*"),"?","~?"),$Z$5:$Z$5004,0)=3284,MAX($AA$4:AA3287)+1,""))</f>
        <v/>
      </c>
    </row>
    <row r="3289" spans="1:27">
      <c r="A3289" s="9"/>
      <c r="Z3289">
        <f>TRIM(A3289&amp;"")</f>
        <v/>
      </c>
      <c r="AA3289">
        <f>IF(Z3289="","",IF(MATCH(SUBSTITUTE(SUBSTITUTE(SUBSTITUTE(Z3289,"~","~~"),"*","~*"),"?","~?"),$Z$5:$Z$5004,0)=3285,MAX($AA$4:AA3288)+1,""))</f>
        <v/>
      </c>
    </row>
    <row r="3290" spans="1:27">
      <c r="A3290" s="9"/>
      <c r="Z3290">
        <f>TRIM(A3290&amp;"")</f>
        <v/>
      </c>
      <c r="AA3290">
        <f>IF(Z3290="","",IF(MATCH(SUBSTITUTE(SUBSTITUTE(SUBSTITUTE(Z3290,"~","~~"),"*","~*"),"?","~?"),$Z$5:$Z$5004,0)=3286,MAX($AA$4:AA3289)+1,""))</f>
        <v/>
      </c>
    </row>
    <row r="3291" spans="1:27">
      <c r="A3291" s="9"/>
      <c r="Z3291">
        <f>TRIM(A3291&amp;"")</f>
        <v/>
      </c>
      <c r="AA3291">
        <f>IF(Z3291="","",IF(MATCH(SUBSTITUTE(SUBSTITUTE(SUBSTITUTE(Z3291,"~","~~"),"*","~*"),"?","~?"),$Z$5:$Z$5004,0)=3287,MAX($AA$4:AA3290)+1,""))</f>
        <v/>
      </c>
    </row>
    <row r="3292" spans="1:27">
      <c r="A3292" s="9"/>
      <c r="Z3292">
        <f>TRIM(A3292&amp;"")</f>
        <v/>
      </c>
      <c r="AA3292">
        <f>IF(Z3292="","",IF(MATCH(SUBSTITUTE(SUBSTITUTE(SUBSTITUTE(Z3292,"~","~~"),"*","~*"),"?","~?"),$Z$5:$Z$5004,0)=3288,MAX($AA$4:AA3291)+1,""))</f>
        <v/>
      </c>
    </row>
    <row r="3293" spans="1:27">
      <c r="A3293" s="9"/>
      <c r="Z3293">
        <f>TRIM(A3293&amp;"")</f>
        <v/>
      </c>
      <c r="AA3293">
        <f>IF(Z3293="","",IF(MATCH(SUBSTITUTE(SUBSTITUTE(SUBSTITUTE(Z3293,"~","~~"),"*","~*"),"?","~?"),$Z$5:$Z$5004,0)=3289,MAX($AA$4:AA3292)+1,""))</f>
        <v/>
      </c>
    </row>
    <row r="3294" spans="1:27">
      <c r="A3294" s="9"/>
      <c r="Z3294">
        <f>TRIM(A3294&amp;"")</f>
        <v/>
      </c>
      <c r="AA3294">
        <f>IF(Z3294="","",IF(MATCH(SUBSTITUTE(SUBSTITUTE(SUBSTITUTE(Z3294,"~","~~"),"*","~*"),"?","~?"),$Z$5:$Z$5004,0)=3290,MAX($AA$4:AA3293)+1,""))</f>
        <v/>
      </c>
    </row>
    <row r="3295" spans="1:27">
      <c r="A3295" s="9"/>
      <c r="Z3295">
        <f>TRIM(A3295&amp;"")</f>
        <v/>
      </c>
      <c r="AA3295">
        <f>IF(Z3295="","",IF(MATCH(SUBSTITUTE(SUBSTITUTE(SUBSTITUTE(Z3295,"~","~~"),"*","~*"),"?","~?"),$Z$5:$Z$5004,0)=3291,MAX($AA$4:AA3294)+1,""))</f>
        <v/>
      </c>
    </row>
    <row r="3296" spans="1:27">
      <c r="A3296" s="9"/>
      <c r="Z3296">
        <f>TRIM(A3296&amp;"")</f>
        <v/>
      </c>
      <c r="AA3296">
        <f>IF(Z3296="","",IF(MATCH(SUBSTITUTE(SUBSTITUTE(SUBSTITUTE(Z3296,"~","~~"),"*","~*"),"?","~?"),$Z$5:$Z$5004,0)=3292,MAX($AA$4:AA3295)+1,""))</f>
        <v/>
      </c>
    </row>
    <row r="3297" spans="1:27">
      <c r="A3297" s="9"/>
      <c r="Z3297">
        <f>TRIM(A3297&amp;"")</f>
        <v/>
      </c>
      <c r="AA3297">
        <f>IF(Z3297="","",IF(MATCH(SUBSTITUTE(SUBSTITUTE(SUBSTITUTE(Z3297,"~","~~"),"*","~*"),"?","~?"),$Z$5:$Z$5004,0)=3293,MAX($AA$4:AA3296)+1,""))</f>
        <v/>
      </c>
    </row>
    <row r="3298" spans="1:27">
      <c r="A3298" s="9"/>
      <c r="Z3298">
        <f>TRIM(A3298&amp;"")</f>
        <v/>
      </c>
      <c r="AA3298">
        <f>IF(Z3298="","",IF(MATCH(SUBSTITUTE(SUBSTITUTE(SUBSTITUTE(Z3298,"~","~~"),"*","~*"),"?","~?"),$Z$5:$Z$5004,0)=3294,MAX($AA$4:AA3297)+1,""))</f>
        <v/>
      </c>
    </row>
    <row r="3299" spans="1:27">
      <c r="A3299" s="9"/>
      <c r="Z3299">
        <f>TRIM(A3299&amp;"")</f>
        <v/>
      </c>
      <c r="AA3299">
        <f>IF(Z3299="","",IF(MATCH(SUBSTITUTE(SUBSTITUTE(SUBSTITUTE(Z3299,"~","~~"),"*","~*"),"?","~?"),$Z$5:$Z$5004,0)=3295,MAX($AA$4:AA3298)+1,""))</f>
        <v/>
      </c>
    </row>
    <row r="3300" spans="1:27">
      <c r="A3300" s="9"/>
      <c r="Z3300">
        <f>TRIM(A3300&amp;"")</f>
        <v/>
      </c>
      <c r="AA3300">
        <f>IF(Z3300="","",IF(MATCH(SUBSTITUTE(SUBSTITUTE(SUBSTITUTE(Z3300,"~","~~"),"*","~*"),"?","~?"),$Z$5:$Z$5004,0)=3296,MAX($AA$4:AA3299)+1,""))</f>
        <v/>
      </c>
    </row>
    <row r="3301" spans="1:27">
      <c r="A3301" s="9"/>
      <c r="Z3301">
        <f>TRIM(A3301&amp;"")</f>
        <v/>
      </c>
      <c r="AA3301">
        <f>IF(Z3301="","",IF(MATCH(SUBSTITUTE(SUBSTITUTE(SUBSTITUTE(Z3301,"~","~~"),"*","~*"),"?","~?"),$Z$5:$Z$5004,0)=3297,MAX($AA$4:AA3300)+1,""))</f>
        <v/>
      </c>
    </row>
    <row r="3302" spans="1:27">
      <c r="A3302" s="9"/>
      <c r="Z3302">
        <f>TRIM(A3302&amp;"")</f>
        <v/>
      </c>
      <c r="AA3302">
        <f>IF(Z3302="","",IF(MATCH(SUBSTITUTE(SUBSTITUTE(SUBSTITUTE(Z3302,"~","~~"),"*","~*"),"?","~?"),$Z$5:$Z$5004,0)=3298,MAX($AA$4:AA3301)+1,""))</f>
        <v/>
      </c>
    </row>
    <row r="3303" spans="1:27">
      <c r="A3303" s="9"/>
      <c r="Z3303">
        <f>TRIM(A3303&amp;"")</f>
        <v/>
      </c>
      <c r="AA3303">
        <f>IF(Z3303="","",IF(MATCH(SUBSTITUTE(SUBSTITUTE(SUBSTITUTE(Z3303,"~","~~"),"*","~*"),"?","~?"),$Z$5:$Z$5004,0)=3299,MAX($AA$4:AA3302)+1,""))</f>
        <v/>
      </c>
    </row>
    <row r="3304" spans="1:27">
      <c r="A3304" s="9"/>
      <c r="Z3304">
        <f>TRIM(A3304&amp;"")</f>
        <v/>
      </c>
      <c r="AA3304">
        <f>IF(Z3304="","",IF(MATCH(SUBSTITUTE(SUBSTITUTE(SUBSTITUTE(Z3304,"~","~~"),"*","~*"),"?","~?"),$Z$5:$Z$5004,0)=3300,MAX($AA$4:AA3303)+1,""))</f>
        <v/>
      </c>
    </row>
    <row r="3305" spans="1:27">
      <c r="A3305" s="9"/>
      <c r="Z3305">
        <f>TRIM(A3305&amp;"")</f>
        <v/>
      </c>
      <c r="AA3305">
        <f>IF(Z3305="","",IF(MATCH(SUBSTITUTE(SUBSTITUTE(SUBSTITUTE(Z3305,"~","~~"),"*","~*"),"?","~?"),$Z$5:$Z$5004,0)=3301,MAX($AA$4:AA3304)+1,""))</f>
        <v/>
      </c>
    </row>
    <row r="3306" spans="1:27">
      <c r="A3306" s="9"/>
      <c r="Z3306">
        <f>TRIM(A3306&amp;"")</f>
        <v/>
      </c>
      <c r="AA3306">
        <f>IF(Z3306="","",IF(MATCH(SUBSTITUTE(SUBSTITUTE(SUBSTITUTE(Z3306,"~","~~"),"*","~*"),"?","~?"),$Z$5:$Z$5004,0)=3302,MAX($AA$4:AA3305)+1,""))</f>
        <v/>
      </c>
    </row>
    <row r="3307" spans="1:27">
      <c r="A3307" s="9"/>
      <c r="Z3307">
        <f>TRIM(A3307&amp;"")</f>
        <v/>
      </c>
      <c r="AA3307">
        <f>IF(Z3307="","",IF(MATCH(SUBSTITUTE(SUBSTITUTE(SUBSTITUTE(Z3307,"~","~~"),"*","~*"),"?","~?"),$Z$5:$Z$5004,0)=3303,MAX($AA$4:AA3306)+1,""))</f>
        <v/>
      </c>
    </row>
    <row r="3308" spans="1:27">
      <c r="A3308" s="9"/>
      <c r="Z3308">
        <f>TRIM(A3308&amp;"")</f>
        <v/>
      </c>
      <c r="AA3308">
        <f>IF(Z3308="","",IF(MATCH(SUBSTITUTE(SUBSTITUTE(SUBSTITUTE(Z3308,"~","~~"),"*","~*"),"?","~?"),$Z$5:$Z$5004,0)=3304,MAX($AA$4:AA3307)+1,""))</f>
        <v/>
      </c>
    </row>
    <row r="3309" spans="1:27">
      <c r="A3309" s="9"/>
      <c r="Z3309">
        <f>TRIM(A3309&amp;"")</f>
        <v/>
      </c>
      <c r="AA3309">
        <f>IF(Z3309="","",IF(MATCH(SUBSTITUTE(SUBSTITUTE(SUBSTITUTE(Z3309,"~","~~"),"*","~*"),"?","~?"),$Z$5:$Z$5004,0)=3305,MAX($AA$4:AA3308)+1,""))</f>
        <v/>
      </c>
    </row>
    <row r="3310" spans="1:27">
      <c r="A3310" s="9"/>
      <c r="Z3310">
        <f>TRIM(A3310&amp;"")</f>
        <v/>
      </c>
      <c r="AA3310">
        <f>IF(Z3310="","",IF(MATCH(SUBSTITUTE(SUBSTITUTE(SUBSTITUTE(Z3310,"~","~~"),"*","~*"),"?","~?"),$Z$5:$Z$5004,0)=3306,MAX($AA$4:AA3309)+1,""))</f>
        <v/>
      </c>
    </row>
    <row r="3311" spans="1:27">
      <c r="A3311" s="9"/>
      <c r="Z3311">
        <f>TRIM(A3311&amp;"")</f>
        <v/>
      </c>
      <c r="AA3311">
        <f>IF(Z3311="","",IF(MATCH(SUBSTITUTE(SUBSTITUTE(SUBSTITUTE(Z3311,"~","~~"),"*","~*"),"?","~?"),$Z$5:$Z$5004,0)=3307,MAX($AA$4:AA3310)+1,""))</f>
        <v/>
      </c>
    </row>
    <row r="3312" spans="1:27">
      <c r="A3312" s="9"/>
      <c r="Z3312">
        <f>TRIM(A3312&amp;"")</f>
        <v/>
      </c>
      <c r="AA3312">
        <f>IF(Z3312="","",IF(MATCH(SUBSTITUTE(SUBSTITUTE(SUBSTITUTE(Z3312,"~","~~"),"*","~*"),"?","~?"),$Z$5:$Z$5004,0)=3308,MAX($AA$4:AA3311)+1,""))</f>
        <v/>
      </c>
    </row>
    <row r="3313" spans="1:27">
      <c r="A3313" s="9"/>
      <c r="Z3313">
        <f>TRIM(A3313&amp;"")</f>
        <v/>
      </c>
      <c r="AA3313">
        <f>IF(Z3313="","",IF(MATCH(SUBSTITUTE(SUBSTITUTE(SUBSTITUTE(Z3313,"~","~~"),"*","~*"),"?","~?"),$Z$5:$Z$5004,0)=3309,MAX($AA$4:AA3312)+1,""))</f>
        <v/>
      </c>
    </row>
    <row r="3314" spans="1:27">
      <c r="A3314" s="9"/>
      <c r="Z3314">
        <f>TRIM(A3314&amp;"")</f>
        <v/>
      </c>
      <c r="AA3314">
        <f>IF(Z3314="","",IF(MATCH(SUBSTITUTE(SUBSTITUTE(SUBSTITUTE(Z3314,"~","~~"),"*","~*"),"?","~?"),$Z$5:$Z$5004,0)=3310,MAX($AA$4:AA3313)+1,""))</f>
        <v/>
      </c>
    </row>
    <row r="3315" spans="1:27">
      <c r="A3315" s="9"/>
      <c r="Z3315">
        <f>TRIM(A3315&amp;"")</f>
        <v/>
      </c>
      <c r="AA3315">
        <f>IF(Z3315="","",IF(MATCH(SUBSTITUTE(SUBSTITUTE(SUBSTITUTE(Z3315,"~","~~"),"*","~*"),"?","~?"),$Z$5:$Z$5004,0)=3311,MAX($AA$4:AA3314)+1,""))</f>
        <v/>
      </c>
    </row>
    <row r="3316" spans="1:27">
      <c r="A3316" s="9"/>
      <c r="Z3316">
        <f>TRIM(A3316&amp;"")</f>
        <v/>
      </c>
      <c r="AA3316">
        <f>IF(Z3316="","",IF(MATCH(SUBSTITUTE(SUBSTITUTE(SUBSTITUTE(Z3316,"~","~~"),"*","~*"),"?","~?"),$Z$5:$Z$5004,0)=3312,MAX($AA$4:AA3315)+1,""))</f>
        <v/>
      </c>
    </row>
    <row r="3317" spans="1:27">
      <c r="A3317" s="9"/>
      <c r="Z3317">
        <f>TRIM(A3317&amp;"")</f>
        <v/>
      </c>
      <c r="AA3317">
        <f>IF(Z3317="","",IF(MATCH(SUBSTITUTE(SUBSTITUTE(SUBSTITUTE(Z3317,"~","~~"),"*","~*"),"?","~?"),$Z$5:$Z$5004,0)=3313,MAX($AA$4:AA3316)+1,""))</f>
        <v/>
      </c>
    </row>
    <row r="3318" spans="1:27">
      <c r="A3318" s="9"/>
      <c r="Z3318">
        <f>TRIM(A3318&amp;"")</f>
        <v/>
      </c>
      <c r="AA3318">
        <f>IF(Z3318="","",IF(MATCH(SUBSTITUTE(SUBSTITUTE(SUBSTITUTE(Z3318,"~","~~"),"*","~*"),"?","~?"),$Z$5:$Z$5004,0)=3314,MAX($AA$4:AA3317)+1,""))</f>
        <v/>
      </c>
    </row>
    <row r="3319" spans="1:27">
      <c r="A3319" s="9"/>
      <c r="Z3319">
        <f>TRIM(A3319&amp;"")</f>
        <v/>
      </c>
      <c r="AA3319">
        <f>IF(Z3319="","",IF(MATCH(SUBSTITUTE(SUBSTITUTE(SUBSTITUTE(Z3319,"~","~~"),"*","~*"),"?","~?"),$Z$5:$Z$5004,0)=3315,MAX($AA$4:AA3318)+1,""))</f>
        <v/>
      </c>
    </row>
    <row r="3320" spans="1:27">
      <c r="A3320" s="9"/>
      <c r="Z3320">
        <f>TRIM(A3320&amp;"")</f>
        <v/>
      </c>
      <c r="AA3320">
        <f>IF(Z3320="","",IF(MATCH(SUBSTITUTE(SUBSTITUTE(SUBSTITUTE(Z3320,"~","~~"),"*","~*"),"?","~?"),$Z$5:$Z$5004,0)=3316,MAX($AA$4:AA3319)+1,""))</f>
        <v/>
      </c>
    </row>
    <row r="3321" spans="1:27">
      <c r="A3321" s="9"/>
      <c r="Z3321">
        <f>TRIM(A3321&amp;"")</f>
        <v/>
      </c>
      <c r="AA3321">
        <f>IF(Z3321="","",IF(MATCH(SUBSTITUTE(SUBSTITUTE(SUBSTITUTE(Z3321,"~","~~"),"*","~*"),"?","~?"),$Z$5:$Z$5004,0)=3317,MAX($AA$4:AA3320)+1,""))</f>
        <v/>
      </c>
    </row>
    <row r="3322" spans="1:27">
      <c r="A3322" s="9"/>
      <c r="Z3322">
        <f>TRIM(A3322&amp;"")</f>
        <v/>
      </c>
      <c r="AA3322">
        <f>IF(Z3322="","",IF(MATCH(SUBSTITUTE(SUBSTITUTE(SUBSTITUTE(Z3322,"~","~~"),"*","~*"),"?","~?"),$Z$5:$Z$5004,0)=3318,MAX($AA$4:AA3321)+1,""))</f>
        <v/>
      </c>
    </row>
    <row r="3323" spans="1:27">
      <c r="A3323" s="9"/>
      <c r="Z3323">
        <f>TRIM(A3323&amp;"")</f>
        <v/>
      </c>
      <c r="AA3323">
        <f>IF(Z3323="","",IF(MATCH(SUBSTITUTE(SUBSTITUTE(SUBSTITUTE(Z3323,"~","~~"),"*","~*"),"?","~?"),$Z$5:$Z$5004,0)=3319,MAX($AA$4:AA3322)+1,""))</f>
        <v/>
      </c>
    </row>
    <row r="3324" spans="1:27">
      <c r="A3324" s="9"/>
      <c r="Z3324">
        <f>TRIM(A3324&amp;"")</f>
        <v/>
      </c>
      <c r="AA3324">
        <f>IF(Z3324="","",IF(MATCH(SUBSTITUTE(SUBSTITUTE(SUBSTITUTE(Z3324,"~","~~"),"*","~*"),"?","~?"),$Z$5:$Z$5004,0)=3320,MAX($AA$4:AA3323)+1,""))</f>
        <v/>
      </c>
    </row>
    <row r="3325" spans="1:27">
      <c r="A3325" s="9"/>
      <c r="Z3325">
        <f>TRIM(A3325&amp;"")</f>
        <v/>
      </c>
      <c r="AA3325">
        <f>IF(Z3325="","",IF(MATCH(SUBSTITUTE(SUBSTITUTE(SUBSTITUTE(Z3325,"~","~~"),"*","~*"),"?","~?"),$Z$5:$Z$5004,0)=3321,MAX($AA$4:AA3324)+1,""))</f>
        <v/>
      </c>
    </row>
    <row r="3326" spans="1:27">
      <c r="A3326" s="9"/>
      <c r="Z3326">
        <f>TRIM(A3326&amp;"")</f>
        <v/>
      </c>
      <c r="AA3326">
        <f>IF(Z3326="","",IF(MATCH(SUBSTITUTE(SUBSTITUTE(SUBSTITUTE(Z3326,"~","~~"),"*","~*"),"?","~?"),$Z$5:$Z$5004,0)=3322,MAX($AA$4:AA3325)+1,""))</f>
        <v/>
      </c>
    </row>
    <row r="3327" spans="1:27">
      <c r="A3327" s="9"/>
      <c r="Z3327">
        <f>TRIM(A3327&amp;"")</f>
        <v/>
      </c>
      <c r="AA3327">
        <f>IF(Z3327="","",IF(MATCH(SUBSTITUTE(SUBSTITUTE(SUBSTITUTE(Z3327,"~","~~"),"*","~*"),"?","~?"),$Z$5:$Z$5004,0)=3323,MAX($AA$4:AA3326)+1,""))</f>
        <v/>
      </c>
    </row>
    <row r="3328" spans="1:27">
      <c r="A3328" s="9"/>
      <c r="Z3328">
        <f>TRIM(A3328&amp;"")</f>
        <v/>
      </c>
      <c r="AA3328">
        <f>IF(Z3328="","",IF(MATCH(SUBSTITUTE(SUBSTITUTE(SUBSTITUTE(Z3328,"~","~~"),"*","~*"),"?","~?"),$Z$5:$Z$5004,0)=3324,MAX($AA$4:AA3327)+1,""))</f>
        <v/>
      </c>
    </row>
    <row r="3329" spans="1:27">
      <c r="A3329" s="9"/>
      <c r="Z3329">
        <f>TRIM(A3329&amp;"")</f>
        <v/>
      </c>
      <c r="AA3329">
        <f>IF(Z3329="","",IF(MATCH(SUBSTITUTE(SUBSTITUTE(SUBSTITUTE(Z3329,"~","~~"),"*","~*"),"?","~?"),$Z$5:$Z$5004,0)=3325,MAX($AA$4:AA3328)+1,""))</f>
        <v/>
      </c>
    </row>
    <row r="3330" spans="1:27">
      <c r="A3330" s="9"/>
      <c r="Z3330">
        <f>TRIM(A3330&amp;"")</f>
        <v/>
      </c>
      <c r="AA3330">
        <f>IF(Z3330="","",IF(MATCH(SUBSTITUTE(SUBSTITUTE(SUBSTITUTE(Z3330,"~","~~"),"*","~*"),"?","~?"),$Z$5:$Z$5004,0)=3326,MAX($AA$4:AA3329)+1,""))</f>
        <v/>
      </c>
    </row>
    <row r="3331" spans="1:27">
      <c r="A3331" s="9"/>
      <c r="Z3331">
        <f>TRIM(A3331&amp;"")</f>
        <v/>
      </c>
      <c r="AA3331">
        <f>IF(Z3331="","",IF(MATCH(SUBSTITUTE(SUBSTITUTE(SUBSTITUTE(Z3331,"~","~~"),"*","~*"),"?","~?"),$Z$5:$Z$5004,0)=3327,MAX($AA$4:AA3330)+1,""))</f>
        <v/>
      </c>
    </row>
    <row r="3332" spans="1:27">
      <c r="A3332" s="9"/>
      <c r="Z3332">
        <f>TRIM(A3332&amp;"")</f>
        <v/>
      </c>
      <c r="AA3332">
        <f>IF(Z3332="","",IF(MATCH(SUBSTITUTE(SUBSTITUTE(SUBSTITUTE(Z3332,"~","~~"),"*","~*"),"?","~?"),$Z$5:$Z$5004,0)=3328,MAX($AA$4:AA3331)+1,""))</f>
        <v/>
      </c>
    </row>
    <row r="3333" spans="1:27">
      <c r="A3333" s="9"/>
      <c r="Z3333">
        <f>TRIM(A3333&amp;"")</f>
        <v/>
      </c>
      <c r="AA3333">
        <f>IF(Z3333="","",IF(MATCH(SUBSTITUTE(SUBSTITUTE(SUBSTITUTE(Z3333,"~","~~"),"*","~*"),"?","~?"),$Z$5:$Z$5004,0)=3329,MAX($AA$4:AA3332)+1,""))</f>
        <v/>
      </c>
    </row>
    <row r="3334" spans="1:27">
      <c r="A3334" s="9"/>
      <c r="Z3334">
        <f>TRIM(A3334&amp;"")</f>
        <v/>
      </c>
      <c r="AA3334">
        <f>IF(Z3334="","",IF(MATCH(SUBSTITUTE(SUBSTITUTE(SUBSTITUTE(Z3334,"~","~~"),"*","~*"),"?","~?"),$Z$5:$Z$5004,0)=3330,MAX($AA$4:AA3333)+1,""))</f>
        <v/>
      </c>
    </row>
    <row r="3335" spans="1:27">
      <c r="A3335" s="9"/>
      <c r="Z3335">
        <f>TRIM(A3335&amp;"")</f>
        <v/>
      </c>
      <c r="AA3335">
        <f>IF(Z3335="","",IF(MATCH(SUBSTITUTE(SUBSTITUTE(SUBSTITUTE(Z3335,"~","~~"),"*","~*"),"?","~?"),$Z$5:$Z$5004,0)=3331,MAX($AA$4:AA3334)+1,""))</f>
        <v/>
      </c>
    </row>
    <row r="3336" spans="1:27">
      <c r="A3336" s="9"/>
      <c r="Z3336">
        <f>TRIM(A3336&amp;"")</f>
        <v/>
      </c>
      <c r="AA3336">
        <f>IF(Z3336="","",IF(MATCH(SUBSTITUTE(SUBSTITUTE(SUBSTITUTE(Z3336,"~","~~"),"*","~*"),"?","~?"),$Z$5:$Z$5004,0)=3332,MAX($AA$4:AA3335)+1,""))</f>
        <v/>
      </c>
    </row>
    <row r="3337" spans="1:27">
      <c r="A3337" s="9"/>
      <c r="Z3337">
        <f>TRIM(A3337&amp;"")</f>
        <v/>
      </c>
      <c r="AA3337">
        <f>IF(Z3337="","",IF(MATCH(SUBSTITUTE(SUBSTITUTE(SUBSTITUTE(Z3337,"~","~~"),"*","~*"),"?","~?"),$Z$5:$Z$5004,0)=3333,MAX($AA$4:AA3336)+1,""))</f>
        <v/>
      </c>
    </row>
    <row r="3338" spans="1:27">
      <c r="A3338" s="9"/>
      <c r="Z3338">
        <f>TRIM(A3338&amp;"")</f>
        <v/>
      </c>
      <c r="AA3338">
        <f>IF(Z3338="","",IF(MATCH(SUBSTITUTE(SUBSTITUTE(SUBSTITUTE(Z3338,"~","~~"),"*","~*"),"?","~?"),$Z$5:$Z$5004,0)=3334,MAX($AA$4:AA3337)+1,""))</f>
        <v/>
      </c>
    </row>
    <row r="3339" spans="1:27">
      <c r="A3339" s="9"/>
      <c r="Z3339">
        <f>TRIM(A3339&amp;"")</f>
        <v/>
      </c>
      <c r="AA3339">
        <f>IF(Z3339="","",IF(MATCH(SUBSTITUTE(SUBSTITUTE(SUBSTITUTE(Z3339,"~","~~"),"*","~*"),"?","~?"),$Z$5:$Z$5004,0)=3335,MAX($AA$4:AA3338)+1,""))</f>
        <v/>
      </c>
    </row>
    <row r="3340" spans="1:27">
      <c r="A3340" s="9"/>
      <c r="Z3340">
        <f>TRIM(A3340&amp;"")</f>
        <v/>
      </c>
      <c r="AA3340">
        <f>IF(Z3340="","",IF(MATCH(SUBSTITUTE(SUBSTITUTE(SUBSTITUTE(Z3340,"~","~~"),"*","~*"),"?","~?"),$Z$5:$Z$5004,0)=3336,MAX($AA$4:AA3339)+1,""))</f>
        <v/>
      </c>
    </row>
    <row r="3341" spans="1:27">
      <c r="A3341" s="9"/>
      <c r="Z3341">
        <f>TRIM(A3341&amp;"")</f>
        <v/>
      </c>
      <c r="AA3341">
        <f>IF(Z3341="","",IF(MATCH(SUBSTITUTE(SUBSTITUTE(SUBSTITUTE(Z3341,"~","~~"),"*","~*"),"?","~?"),$Z$5:$Z$5004,0)=3337,MAX($AA$4:AA3340)+1,""))</f>
        <v/>
      </c>
    </row>
    <row r="3342" spans="1:27">
      <c r="A3342" s="9"/>
      <c r="Z3342">
        <f>TRIM(A3342&amp;"")</f>
        <v/>
      </c>
      <c r="AA3342">
        <f>IF(Z3342="","",IF(MATCH(SUBSTITUTE(SUBSTITUTE(SUBSTITUTE(Z3342,"~","~~"),"*","~*"),"?","~?"),$Z$5:$Z$5004,0)=3338,MAX($AA$4:AA3341)+1,""))</f>
        <v/>
      </c>
    </row>
    <row r="3343" spans="1:27">
      <c r="A3343" s="9"/>
      <c r="Z3343">
        <f>TRIM(A3343&amp;"")</f>
        <v/>
      </c>
      <c r="AA3343">
        <f>IF(Z3343="","",IF(MATCH(SUBSTITUTE(SUBSTITUTE(SUBSTITUTE(Z3343,"~","~~"),"*","~*"),"?","~?"),$Z$5:$Z$5004,0)=3339,MAX($AA$4:AA3342)+1,""))</f>
        <v/>
      </c>
    </row>
    <row r="3344" spans="1:27">
      <c r="A3344" s="9"/>
      <c r="Z3344">
        <f>TRIM(A3344&amp;"")</f>
        <v/>
      </c>
      <c r="AA3344">
        <f>IF(Z3344="","",IF(MATCH(SUBSTITUTE(SUBSTITUTE(SUBSTITUTE(Z3344,"~","~~"),"*","~*"),"?","~?"),$Z$5:$Z$5004,0)=3340,MAX($AA$4:AA3343)+1,""))</f>
        <v/>
      </c>
    </row>
    <row r="3345" spans="1:27">
      <c r="A3345" s="9"/>
      <c r="Z3345">
        <f>TRIM(A3345&amp;"")</f>
        <v/>
      </c>
      <c r="AA3345">
        <f>IF(Z3345="","",IF(MATCH(SUBSTITUTE(SUBSTITUTE(SUBSTITUTE(Z3345,"~","~~"),"*","~*"),"?","~?"),$Z$5:$Z$5004,0)=3341,MAX($AA$4:AA3344)+1,""))</f>
        <v/>
      </c>
    </row>
    <row r="3346" spans="1:27">
      <c r="A3346" s="9"/>
      <c r="Z3346">
        <f>TRIM(A3346&amp;"")</f>
        <v/>
      </c>
      <c r="AA3346">
        <f>IF(Z3346="","",IF(MATCH(SUBSTITUTE(SUBSTITUTE(SUBSTITUTE(Z3346,"~","~~"),"*","~*"),"?","~?"),$Z$5:$Z$5004,0)=3342,MAX($AA$4:AA3345)+1,""))</f>
        <v/>
      </c>
    </row>
    <row r="3347" spans="1:27">
      <c r="A3347" s="9"/>
      <c r="Z3347">
        <f>TRIM(A3347&amp;"")</f>
        <v/>
      </c>
      <c r="AA3347">
        <f>IF(Z3347="","",IF(MATCH(SUBSTITUTE(SUBSTITUTE(SUBSTITUTE(Z3347,"~","~~"),"*","~*"),"?","~?"),$Z$5:$Z$5004,0)=3343,MAX($AA$4:AA3346)+1,""))</f>
        <v/>
      </c>
    </row>
    <row r="3348" spans="1:27">
      <c r="A3348" s="9"/>
      <c r="Z3348">
        <f>TRIM(A3348&amp;"")</f>
        <v/>
      </c>
      <c r="AA3348">
        <f>IF(Z3348="","",IF(MATCH(SUBSTITUTE(SUBSTITUTE(SUBSTITUTE(Z3348,"~","~~"),"*","~*"),"?","~?"),$Z$5:$Z$5004,0)=3344,MAX($AA$4:AA3347)+1,""))</f>
        <v/>
      </c>
    </row>
    <row r="3349" spans="1:27">
      <c r="A3349" s="9"/>
      <c r="Z3349">
        <f>TRIM(A3349&amp;"")</f>
        <v/>
      </c>
      <c r="AA3349">
        <f>IF(Z3349="","",IF(MATCH(SUBSTITUTE(SUBSTITUTE(SUBSTITUTE(Z3349,"~","~~"),"*","~*"),"?","~?"),$Z$5:$Z$5004,0)=3345,MAX($AA$4:AA3348)+1,""))</f>
        <v/>
      </c>
    </row>
    <row r="3350" spans="1:27">
      <c r="A3350" s="9"/>
      <c r="Z3350">
        <f>TRIM(A3350&amp;"")</f>
        <v/>
      </c>
      <c r="AA3350">
        <f>IF(Z3350="","",IF(MATCH(SUBSTITUTE(SUBSTITUTE(SUBSTITUTE(Z3350,"~","~~"),"*","~*"),"?","~?"),$Z$5:$Z$5004,0)=3346,MAX($AA$4:AA3349)+1,""))</f>
        <v/>
      </c>
    </row>
    <row r="3351" spans="1:27">
      <c r="A3351" s="9"/>
      <c r="Z3351">
        <f>TRIM(A3351&amp;"")</f>
        <v/>
      </c>
      <c r="AA3351">
        <f>IF(Z3351="","",IF(MATCH(SUBSTITUTE(SUBSTITUTE(SUBSTITUTE(Z3351,"~","~~"),"*","~*"),"?","~?"),$Z$5:$Z$5004,0)=3347,MAX($AA$4:AA3350)+1,""))</f>
        <v/>
      </c>
    </row>
    <row r="3352" spans="1:27">
      <c r="A3352" s="9"/>
      <c r="Z3352">
        <f>TRIM(A3352&amp;"")</f>
        <v/>
      </c>
      <c r="AA3352">
        <f>IF(Z3352="","",IF(MATCH(SUBSTITUTE(SUBSTITUTE(SUBSTITUTE(Z3352,"~","~~"),"*","~*"),"?","~?"),$Z$5:$Z$5004,0)=3348,MAX($AA$4:AA3351)+1,""))</f>
        <v/>
      </c>
    </row>
    <row r="3353" spans="1:27">
      <c r="A3353" s="9"/>
      <c r="Z3353">
        <f>TRIM(A3353&amp;"")</f>
        <v/>
      </c>
      <c r="AA3353">
        <f>IF(Z3353="","",IF(MATCH(SUBSTITUTE(SUBSTITUTE(SUBSTITUTE(Z3353,"~","~~"),"*","~*"),"?","~?"),$Z$5:$Z$5004,0)=3349,MAX($AA$4:AA3352)+1,""))</f>
        <v/>
      </c>
    </row>
    <row r="3354" spans="1:27">
      <c r="A3354" s="9"/>
      <c r="Z3354">
        <f>TRIM(A3354&amp;"")</f>
        <v/>
      </c>
      <c r="AA3354">
        <f>IF(Z3354="","",IF(MATCH(SUBSTITUTE(SUBSTITUTE(SUBSTITUTE(Z3354,"~","~~"),"*","~*"),"?","~?"),$Z$5:$Z$5004,0)=3350,MAX($AA$4:AA3353)+1,""))</f>
        <v/>
      </c>
    </row>
    <row r="3355" spans="1:27">
      <c r="A3355" s="9"/>
      <c r="Z3355">
        <f>TRIM(A3355&amp;"")</f>
        <v/>
      </c>
      <c r="AA3355">
        <f>IF(Z3355="","",IF(MATCH(SUBSTITUTE(SUBSTITUTE(SUBSTITUTE(Z3355,"~","~~"),"*","~*"),"?","~?"),$Z$5:$Z$5004,0)=3351,MAX($AA$4:AA3354)+1,""))</f>
        <v/>
      </c>
    </row>
    <row r="3356" spans="1:27">
      <c r="A3356" s="9"/>
      <c r="Z3356">
        <f>TRIM(A3356&amp;"")</f>
        <v/>
      </c>
      <c r="AA3356">
        <f>IF(Z3356="","",IF(MATCH(SUBSTITUTE(SUBSTITUTE(SUBSTITUTE(Z3356,"~","~~"),"*","~*"),"?","~?"),$Z$5:$Z$5004,0)=3352,MAX($AA$4:AA3355)+1,""))</f>
        <v/>
      </c>
    </row>
    <row r="3357" spans="1:27">
      <c r="A3357" s="9"/>
      <c r="Z3357">
        <f>TRIM(A3357&amp;"")</f>
        <v/>
      </c>
      <c r="AA3357">
        <f>IF(Z3357="","",IF(MATCH(SUBSTITUTE(SUBSTITUTE(SUBSTITUTE(Z3357,"~","~~"),"*","~*"),"?","~?"),$Z$5:$Z$5004,0)=3353,MAX($AA$4:AA3356)+1,""))</f>
        <v/>
      </c>
    </row>
    <row r="3358" spans="1:27">
      <c r="A3358" s="9"/>
      <c r="Z3358">
        <f>TRIM(A3358&amp;"")</f>
        <v/>
      </c>
      <c r="AA3358">
        <f>IF(Z3358="","",IF(MATCH(SUBSTITUTE(SUBSTITUTE(SUBSTITUTE(Z3358,"~","~~"),"*","~*"),"?","~?"),$Z$5:$Z$5004,0)=3354,MAX($AA$4:AA3357)+1,""))</f>
        <v/>
      </c>
    </row>
    <row r="3359" spans="1:27">
      <c r="A3359" s="9"/>
      <c r="Z3359">
        <f>TRIM(A3359&amp;"")</f>
        <v/>
      </c>
      <c r="AA3359">
        <f>IF(Z3359="","",IF(MATCH(SUBSTITUTE(SUBSTITUTE(SUBSTITUTE(Z3359,"~","~~"),"*","~*"),"?","~?"),$Z$5:$Z$5004,0)=3355,MAX($AA$4:AA3358)+1,""))</f>
        <v/>
      </c>
    </row>
    <row r="3360" spans="1:27">
      <c r="A3360" s="9"/>
      <c r="Z3360">
        <f>TRIM(A3360&amp;"")</f>
        <v/>
      </c>
      <c r="AA3360">
        <f>IF(Z3360="","",IF(MATCH(SUBSTITUTE(SUBSTITUTE(SUBSTITUTE(Z3360,"~","~~"),"*","~*"),"?","~?"),$Z$5:$Z$5004,0)=3356,MAX($AA$4:AA3359)+1,""))</f>
        <v/>
      </c>
    </row>
    <row r="3361" spans="1:27">
      <c r="A3361" s="9"/>
      <c r="Z3361">
        <f>TRIM(A3361&amp;"")</f>
        <v/>
      </c>
      <c r="AA3361">
        <f>IF(Z3361="","",IF(MATCH(SUBSTITUTE(SUBSTITUTE(SUBSTITUTE(Z3361,"~","~~"),"*","~*"),"?","~?"),$Z$5:$Z$5004,0)=3357,MAX($AA$4:AA3360)+1,""))</f>
        <v/>
      </c>
    </row>
    <row r="3362" spans="1:27">
      <c r="A3362" s="9"/>
      <c r="Z3362">
        <f>TRIM(A3362&amp;"")</f>
        <v/>
      </c>
      <c r="AA3362">
        <f>IF(Z3362="","",IF(MATCH(SUBSTITUTE(SUBSTITUTE(SUBSTITUTE(Z3362,"~","~~"),"*","~*"),"?","~?"),$Z$5:$Z$5004,0)=3358,MAX($AA$4:AA3361)+1,""))</f>
        <v/>
      </c>
    </row>
    <row r="3363" spans="1:27">
      <c r="A3363" s="9"/>
      <c r="Z3363">
        <f>TRIM(A3363&amp;"")</f>
        <v/>
      </c>
      <c r="AA3363">
        <f>IF(Z3363="","",IF(MATCH(SUBSTITUTE(SUBSTITUTE(SUBSTITUTE(Z3363,"~","~~"),"*","~*"),"?","~?"),$Z$5:$Z$5004,0)=3359,MAX($AA$4:AA3362)+1,""))</f>
        <v/>
      </c>
    </row>
    <row r="3364" spans="1:27">
      <c r="A3364" s="9"/>
      <c r="Z3364">
        <f>TRIM(A3364&amp;"")</f>
        <v/>
      </c>
      <c r="AA3364">
        <f>IF(Z3364="","",IF(MATCH(SUBSTITUTE(SUBSTITUTE(SUBSTITUTE(Z3364,"~","~~"),"*","~*"),"?","~?"),$Z$5:$Z$5004,0)=3360,MAX($AA$4:AA3363)+1,""))</f>
        <v/>
      </c>
    </row>
    <row r="3365" spans="1:27">
      <c r="A3365" s="9"/>
      <c r="Z3365">
        <f>TRIM(A3365&amp;"")</f>
        <v/>
      </c>
      <c r="AA3365">
        <f>IF(Z3365="","",IF(MATCH(SUBSTITUTE(SUBSTITUTE(SUBSTITUTE(Z3365,"~","~~"),"*","~*"),"?","~?"),$Z$5:$Z$5004,0)=3361,MAX($AA$4:AA3364)+1,""))</f>
        <v/>
      </c>
    </row>
    <row r="3366" spans="1:27">
      <c r="A3366" s="9"/>
      <c r="Z3366">
        <f>TRIM(A3366&amp;"")</f>
        <v/>
      </c>
      <c r="AA3366">
        <f>IF(Z3366="","",IF(MATCH(SUBSTITUTE(SUBSTITUTE(SUBSTITUTE(Z3366,"~","~~"),"*","~*"),"?","~?"),$Z$5:$Z$5004,0)=3362,MAX($AA$4:AA3365)+1,""))</f>
        <v/>
      </c>
    </row>
    <row r="3367" spans="1:27">
      <c r="A3367" s="9"/>
      <c r="Z3367">
        <f>TRIM(A3367&amp;"")</f>
        <v/>
      </c>
      <c r="AA3367">
        <f>IF(Z3367="","",IF(MATCH(SUBSTITUTE(SUBSTITUTE(SUBSTITUTE(Z3367,"~","~~"),"*","~*"),"?","~?"),$Z$5:$Z$5004,0)=3363,MAX($AA$4:AA3366)+1,""))</f>
        <v/>
      </c>
    </row>
    <row r="3368" spans="1:27">
      <c r="A3368" s="9"/>
      <c r="Z3368">
        <f>TRIM(A3368&amp;"")</f>
        <v/>
      </c>
      <c r="AA3368">
        <f>IF(Z3368="","",IF(MATCH(SUBSTITUTE(SUBSTITUTE(SUBSTITUTE(Z3368,"~","~~"),"*","~*"),"?","~?"),$Z$5:$Z$5004,0)=3364,MAX($AA$4:AA3367)+1,""))</f>
        <v/>
      </c>
    </row>
    <row r="3369" spans="1:27">
      <c r="A3369" s="9"/>
      <c r="Z3369">
        <f>TRIM(A3369&amp;"")</f>
        <v/>
      </c>
      <c r="AA3369">
        <f>IF(Z3369="","",IF(MATCH(SUBSTITUTE(SUBSTITUTE(SUBSTITUTE(Z3369,"~","~~"),"*","~*"),"?","~?"),$Z$5:$Z$5004,0)=3365,MAX($AA$4:AA3368)+1,""))</f>
        <v/>
      </c>
    </row>
    <row r="3370" spans="1:27">
      <c r="A3370" s="9"/>
      <c r="Z3370">
        <f>TRIM(A3370&amp;"")</f>
        <v/>
      </c>
      <c r="AA3370">
        <f>IF(Z3370="","",IF(MATCH(SUBSTITUTE(SUBSTITUTE(SUBSTITUTE(Z3370,"~","~~"),"*","~*"),"?","~?"),$Z$5:$Z$5004,0)=3366,MAX($AA$4:AA3369)+1,""))</f>
        <v/>
      </c>
    </row>
    <row r="3371" spans="1:27">
      <c r="A3371" s="9"/>
      <c r="Z3371">
        <f>TRIM(A3371&amp;"")</f>
        <v/>
      </c>
      <c r="AA3371">
        <f>IF(Z3371="","",IF(MATCH(SUBSTITUTE(SUBSTITUTE(SUBSTITUTE(Z3371,"~","~~"),"*","~*"),"?","~?"),$Z$5:$Z$5004,0)=3367,MAX($AA$4:AA3370)+1,""))</f>
        <v/>
      </c>
    </row>
    <row r="3372" spans="1:27">
      <c r="A3372" s="9"/>
      <c r="Z3372">
        <f>TRIM(A3372&amp;"")</f>
        <v/>
      </c>
      <c r="AA3372">
        <f>IF(Z3372="","",IF(MATCH(SUBSTITUTE(SUBSTITUTE(SUBSTITUTE(Z3372,"~","~~"),"*","~*"),"?","~?"),$Z$5:$Z$5004,0)=3368,MAX($AA$4:AA3371)+1,""))</f>
        <v/>
      </c>
    </row>
    <row r="3373" spans="1:27">
      <c r="A3373" s="9"/>
      <c r="Z3373">
        <f>TRIM(A3373&amp;"")</f>
        <v/>
      </c>
      <c r="AA3373">
        <f>IF(Z3373="","",IF(MATCH(SUBSTITUTE(SUBSTITUTE(SUBSTITUTE(Z3373,"~","~~"),"*","~*"),"?","~?"),$Z$5:$Z$5004,0)=3369,MAX($AA$4:AA3372)+1,""))</f>
        <v/>
      </c>
    </row>
    <row r="3374" spans="1:27">
      <c r="A3374" s="9"/>
      <c r="Z3374">
        <f>TRIM(A3374&amp;"")</f>
        <v/>
      </c>
      <c r="AA3374">
        <f>IF(Z3374="","",IF(MATCH(SUBSTITUTE(SUBSTITUTE(SUBSTITUTE(Z3374,"~","~~"),"*","~*"),"?","~?"),$Z$5:$Z$5004,0)=3370,MAX($AA$4:AA3373)+1,""))</f>
        <v/>
      </c>
    </row>
    <row r="3375" spans="1:27">
      <c r="A3375" s="9"/>
      <c r="Z3375">
        <f>TRIM(A3375&amp;"")</f>
        <v/>
      </c>
      <c r="AA3375">
        <f>IF(Z3375="","",IF(MATCH(SUBSTITUTE(SUBSTITUTE(SUBSTITUTE(Z3375,"~","~~"),"*","~*"),"?","~?"),$Z$5:$Z$5004,0)=3371,MAX($AA$4:AA3374)+1,""))</f>
        <v/>
      </c>
    </row>
    <row r="3376" spans="1:27">
      <c r="A3376" s="9"/>
      <c r="Z3376">
        <f>TRIM(A3376&amp;"")</f>
        <v/>
      </c>
      <c r="AA3376">
        <f>IF(Z3376="","",IF(MATCH(SUBSTITUTE(SUBSTITUTE(SUBSTITUTE(Z3376,"~","~~"),"*","~*"),"?","~?"),$Z$5:$Z$5004,0)=3372,MAX($AA$4:AA3375)+1,""))</f>
        <v/>
      </c>
    </row>
    <row r="3377" spans="1:27">
      <c r="A3377" s="9"/>
      <c r="Z3377">
        <f>TRIM(A3377&amp;"")</f>
        <v/>
      </c>
      <c r="AA3377">
        <f>IF(Z3377="","",IF(MATCH(SUBSTITUTE(SUBSTITUTE(SUBSTITUTE(Z3377,"~","~~"),"*","~*"),"?","~?"),$Z$5:$Z$5004,0)=3373,MAX($AA$4:AA3376)+1,""))</f>
        <v/>
      </c>
    </row>
    <row r="3378" spans="1:27">
      <c r="A3378" s="9"/>
      <c r="Z3378">
        <f>TRIM(A3378&amp;"")</f>
        <v/>
      </c>
      <c r="AA3378">
        <f>IF(Z3378="","",IF(MATCH(SUBSTITUTE(SUBSTITUTE(SUBSTITUTE(Z3378,"~","~~"),"*","~*"),"?","~?"),$Z$5:$Z$5004,0)=3374,MAX($AA$4:AA3377)+1,""))</f>
        <v/>
      </c>
    </row>
    <row r="3379" spans="1:27">
      <c r="A3379" s="9"/>
      <c r="Z3379">
        <f>TRIM(A3379&amp;"")</f>
        <v/>
      </c>
      <c r="AA3379">
        <f>IF(Z3379="","",IF(MATCH(SUBSTITUTE(SUBSTITUTE(SUBSTITUTE(Z3379,"~","~~"),"*","~*"),"?","~?"),$Z$5:$Z$5004,0)=3375,MAX($AA$4:AA3378)+1,""))</f>
        <v/>
      </c>
    </row>
    <row r="3380" spans="1:27">
      <c r="A3380" s="9"/>
      <c r="Z3380">
        <f>TRIM(A3380&amp;"")</f>
        <v/>
      </c>
      <c r="AA3380">
        <f>IF(Z3380="","",IF(MATCH(SUBSTITUTE(SUBSTITUTE(SUBSTITUTE(Z3380,"~","~~"),"*","~*"),"?","~?"),$Z$5:$Z$5004,0)=3376,MAX($AA$4:AA3379)+1,""))</f>
        <v/>
      </c>
    </row>
    <row r="3381" spans="1:27">
      <c r="A3381" s="9"/>
      <c r="Z3381">
        <f>TRIM(A3381&amp;"")</f>
        <v/>
      </c>
      <c r="AA3381">
        <f>IF(Z3381="","",IF(MATCH(SUBSTITUTE(SUBSTITUTE(SUBSTITUTE(Z3381,"~","~~"),"*","~*"),"?","~?"),$Z$5:$Z$5004,0)=3377,MAX($AA$4:AA3380)+1,""))</f>
        <v/>
      </c>
    </row>
    <row r="3382" spans="1:27">
      <c r="A3382" s="9"/>
      <c r="Z3382">
        <f>TRIM(A3382&amp;"")</f>
        <v/>
      </c>
      <c r="AA3382">
        <f>IF(Z3382="","",IF(MATCH(SUBSTITUTE(SUBSTITUTE(SUBSTITUTE(Z3382,"~","~~"),"*","~*"),"?","~?"),$Z$5:$Z$5004,0)=3378,MAX($AA$4:AA3381)+1,""))</f>
        <v/>
      </c>
    </row>
    <row r="3383" spans="1:27">
      <c r="A3383" s="9"/>
      <c r="Z3383">
        <f>TRIM(A3383&amp;"")</f>
        <v/>
      </c>
      <c r="AA3383">
        <f>IF(Z3383="","",IF(MATCH(SUBSTITUTE(SUBSTITUTE(SUBSTITUTE(Z3383,"~","~~"),"*","~*"),"?","~?"),$Z$5:$Z$5004,0)=3379,MAX($AA$4:AA3382)+1,""))</f>
        <v/>
      </c>
    </row>
    <row r="3384" spans="1:27">
      <c r="A3384" s="9"/>
      <c r="Z3384">
        <f>TRIM(A3384&amp;"")</f>
        <v/>
      </c>
      <c r="AA3384">
        <f>IF(Z3384="","",IF(MATCH(SUBSTITUTE(SUBSTITUTE(SUBSTITUTE(Z3384,"~","~~"),"*","~*"),"?","~?"),$Z$5:$Z$5004,0)=3380,MAX($AA$4:AA3383)+1,""))</f>
        <v/>
      </c>
    </row>
    <row r="3385" spans="1:27">
      <c r="A3385" s="9"/>
      <c r="Z3385">
        <f>TRIM(A3385&amp;"")</f>
        <v/>
      </c>
      <c r="AA3385">
        <f>IF(Z3385="","",IF(MATCH(SUBSTITUTE(SUBSTITUTE(SUBSTITUTE(Z3385,"~","~~"),"*","~*"),"?","~?"),$Z$5:$Z$5004,0)=3381,MAX($AA$4:AA3384)+1,""))</f>
        <v/>
      </c>
    </row>
    <row r="3386" spans="1:27">
      <c r="A3386" s="9"/>
      <c r="Z3386">
        <f>TRIM(A3386&amp;"")</f>
        <v/>
      </c>
      <c r="AA3386">
        <f>IF(Z3386="","",IF(MATCH(SUBSTITUTE(SUBSTITUTE(SUBSTITUTE(Z3386,"~","~~"),"*","~*"),"?","~?"),$Z$5:$Z$5004,0)=3382,MAX($AA$4:AA3385)+1,""))</f>
        <v/>
      </c>
    </row>
    <row r="3387" spans="1:27">
      <c r="A3387" s="9"/>
      <c r="Z3387">
        <f>TRIM(A3387&amp;"")</f>
        <v/>
      </c>
      <c r="AA3387">
        <f>IF(Z3387="","",IF(MATCH(SUBSTITUTE(SUBSTITUTE(SUBSTITUTE(Z3387,"~","~~"),"*","~*"),"?","~?"),$Z$5:$Z$5004,0)=3383,MAX($AA$4:AA3386)+1,""))</f>
        <v/>
      </c>
    </row>
    <row r="3388" spans="1:27">
      <c r="A3388" s="9"/>
      <c r="Z3388">
        <f>TRIM(A3388&amp;"")</f>
        <v/>
      </c>
      <c r="AA3388">
        <f>IF(Z3388="","",IF(MATCH(SUBSTITUTE(SUBSTITUTE(SUBSTITUTE(Z3388,"~","~~"),"*","~*"),"?","~?"),$Z$5:$Z$5004,0)=3384,MAX($AA$4:AA3387)+1,""))</f>
        <v/>
      </c>
    </row>
    <row r="3389" spans="1:27">
      <c r="A3389" s="9"/>
      <c r="Z3389">
        <f>TRIM(A3389&amp;"")</f>
        <v/>
      </c>
      <c r="AA3389">
        <f>IF(Z3389="","",IF(MATCH(SUBSTITUTE(SUBSTITUTE(SUBSTITUTE(Z3389,"~","~~"),"*","~*"),"?","~?"),$Z$5:$Z$5004,0)=3385,MAX($AA$4:AA3388)+1,""))</f>
        <v/>
      </c>
    </row>
    <row r="3390" spans="1:27">
      <c r="A3390" s="9"/>
      <c r="Z3390">
        <f>TRIM(A3390&amp;"")</f>
        <v/>
      </c>
      <c r="AA3390">
        <f>IF(Z3390="","",IF(MATCH(SUBSTITUTE(SUBSTITUTE(SUBSTITUTE(Z3390,"~","~~"),"*","~*"),"?","~?"),$Z$5:$Z$5004,0)=3386,MAX($AA$4:AA3389)+1,""))</f>
        <v/>
      </c>
    </row>
    <row r="3391" spans="1:27">
      <c r="A3391" s="9"/>
      <c r="Z3391">
        <f>TRIM(A3391&amp;"")</f>
        <v/>
      </c>
      <c r="AA3391">
        <f>IF(Z3391="","",IF(MATCH(SUBSTITUTE(SUBSTITUTE(SUBSTITUTE(Z3391,"~","~~"),"*","~*"),"?","~?"),$Z$5:$Z$5004,0)=3387,MAX($AA$4:AA3390)+1,""))</f>
        <v/>
      </c>
    </row>
    <row r="3392" spans="1:27">
      <c r="A3392" s="9"/>
      <c r="Z3392">
        <f>TRIM(A3392&amp;"")</f>
        <v/>
      </c>
      <c r="AA3392">
        <f>IF(Z3392="","",IF(MATCH(SUBSTITUTE(SUBSTITUTE(SUBSTITUTE(Z3392,"~","~~"),"*","~*"),"?","~?"),$Z$5:$Z$5004,0)=3388,MAX($AA$4:AA3391)+1,""))</f>
        <v/>
      </c>
    </row>
    <row r="3393" spans="1:27">
      <c r="A3393" s="9"/>
      <c r="Z3393">
        <f>TRIM(A3393&amp;"")</f>
        <v/>
      </c>
      <c r="AA3393">
        <f>IF(Z3393="","",IF(MATCH(SUBSTITUTE(SUBSTITUTE(SUBSTITUTE(Z3393,"~","~~"),"*","~*"),"?","~?"),$Z$5:$Z$5004,0)=3389,MAX($AA$4:AA3392)+1,""))</f>
        <v/>
      </c>
    </row>
    <row r="3394" spans="1:27">
      <c r="A3394" s="9"/>
      <c r="Z3394">
        <f>TRIM(A3394&amp;"")</f>
        <v/>
      </c>
      <c r="AA3394">
        <f>IF(Z3394="","",IF(MATCH(SUBSTITUTE(SUBSTITUTE(SUBSTITUTE(Z3394,"~","~~"),"*","~*"),"?","~?"),$Z$5:$Z$5004,0)=3390,MAX($AA$4:AA3393)+1,""))</f>
        <v/>
      </c>
    </row>
    <row r="3395" spans="1:27">
      <c r="A3395" s="9"/>
      <c r="Z3395">
        <f>TRIM(A3395&amp;"")</f>
        <v/>
      </c>
      <c r="AA3395">
        <f>IF(Z3395="","",IF(MATCH(SUBSTITUTE(SUBSTITUTE(SUBSTITUTE(Z3395,"~","~~"),"*","~*"),"?","~?"),$Z$5:$Z$5004,0)=3391,MAX($AA$4:AA3394)+1,""))</f>
        <v/>
      </c>
    </row>
    <row r="3396" spans="1:27">
      <c r="A3396" s="9"/>
      <c r="Z3396">
        <f>TRIM(A3396&amp;"")</f>
        <v/>
      </c>
      <c r="AA3396">
        <f>IF(Z3396="","",IF(MATCH(SUBSTITUTE(SUBSTITUTE(SUBSTITUTE(Z3396,"~","~~"),"*","~*"),"?","~?"),$Z$5:$Z$5004,0)=3392,MAX($AA$4:AA3395)+1,""))</f>
        <v/>
      </c>
    </row>
    <row r="3397" spans="1:27">
      <c r="A3397" s="9"/>
      <c r="Z3397">
        <f>TRIM(A3397&amp;"")</f>
        <v/>
      </c>
      <c r="AA3397">
        <f>IF(Z3397="","",IF(MATCH(SUBSTITUTE(SUBSTITUTE(SUBSTITUTE(Z3397,"~","~~"),"*","~*"),"?","~?"),$Z$5:$Z$5004,0)=3393,MAX($AA$4:AA3396)+1,""))</f>
        <v/>
      </c>
    </row>
    <row r="3398" spans="1:27">
      <c r="A3398" s="9"/>
      <c r="Z3398">
        <f>TRIM(A3398&amp;"")</f>
        <v/>
      </c>
      <c r="AA3398">
        <f>IF(Z3398="","",IF(MATCH(SUBSTITUTE(SUBSTITUTE(SUBSTITUTE(Z3398,"~","~~"),"*","~*"),"?","~?"),$Z$5:$Z$5004,0)=3394,MAX($AA$4:AA3397)+1,""))</f>
        <v/>
      </c>
    </row>
    <row r="3399" spans="1:27">
      <c r="A3399" s="9"/>
      <c r="Z3399">
        <f>TRIM(A3399&amp;"")</f>
        <v/>
      </c>
      <c r="AA3399">
        <f>IF(Z3399="","",IF(MATCH(SUBSTITUTE(SUBSTITUTE(SUBSTITUTE(Z3399,"~","~~"),"*","~*"),"?","~?"),$Z$5:$Z$5004,0)=3395,MAX($AA$4:AA3398)+1,""))</f>
        <v/>
      </c>
    </row>
    <row r="3400" spans="1:27">
      <c r="A3400" s="9"/>
      <c r="Z3400">
        <f>TRIM(A3400&amp;"")</f>
        <v/>
      </c>
      <c r="AA3400">
        <f>IF(Z3400="","",IF(MATCH(SUBSTITUTE(SUBSTITUTE(SUBSTITUTE(Z3400,"~","~~"),"*","~*"),"?","~?"),$Z$5:$Z$5004,0)=3396,MAX($AA$4:AA3399)+1,""))</f>
        <v/>
      </c>
    </row>
    <row r="3401" spans="1:27">
      <c r="A3401" s="9"/>
      <c r="Z3401">
        <f>TRIM(A3401&amp;"")</f>
        <v/>
      </c>
      <c r="AA3401">
        <f>IF(Z3401="","",IF(MATCH(SUBSTITUTE(SUBSTITUTE(SUBSTITUTE(Z3401,"~","~~"),"*","~*"),"?","~?"),$Z$5:$Z$5004,0)=3397,MAX($AA$4:AA3400)+1,""))</f>
        <v/>
      </c>
    </row>
    <row r="3402" spans="1:27">
      <c r="A3402" s="9"/>
      <c r="Z3402">
        <f>TRIM(A3402&amp;"")</f>
        <v/>
      </c>
      <c r="AA3402">
        <f>IF(Z3402="","",IF(MATCH(SUBSTITUTE(SUBSTITUTE(SUBSTITUTE(Z3402,"~","~~"),"*","~*"),"?","~?"),$Z$5:$Z$5004,0)=3398,MAX($AA$4:AA3401)+1,""))</f>
        <v/>
      </c>
    </row>
    <row r="3403" spans="1:27">
      <c r="A3403" s="9"/>
      <c r="Z3403">
        <f>TRIM(A3403&amp;"")</f>
        <v/>
      </c>
      <c r="AA3403">
        <f>IF(Z3403="","",IF(MATCH(SUBSTITUTE(SUBSTITUTE(SUBSTITUTE(Z3403,"~","~~"),"*","~*"),"?","~?"),$Z$5:$Z$5004,0)=3399,MAX($AA$4:AA3402)+1,""))</f>
        <v/>
      </c>
    </row>
    <row r="3404" spans="1:27">
      <c r="A3404" s="9"/>
      <c r="Z3404">
        <f>TRIM(A3404&amp;"")</f>
        <v/>
      </c>
      <c r="AA3404">
        <f>IF(Z3404="","",IF(MATCH(SUBSTITUTE(SUBSTITUTE(SUBSTITUTE(Z3404,"~","~~"),"*","~*"),"?","~?"),$Z$5:$Z$5004,0)=3400,MAX($AA$4:AA3403)+1,""))</f>
        <v/>
      </c>
    </row>
    <row r="3405" spans="1:27">
      <c r="A3405" s="9"/>
      <c r="Z3405">
        <f>TRIM(A3405&amp;"")</f>
        <v/>
      </c>
      <c r="AA3405">
        <f>IF(Z3405="","",IF(MATCH(SUBSTITUTE(SUBSTITUTE(SUBSTITUTE(Z3405,"~","~~"),"*","~*"),"?","~?"),$Z$5:$Z$5004,0)=3401,MAX($AA$4:AA3404)+1,""))</f>
        <v/>
      </c>
    </row>
    <row r="3406" spans="1:27">
      <c r="A3406" s="9"/>
      <c r="Z3406">
        <f>TRIM(A3406&amp;"")</f>
        <v/>
      </c>
      <c r="AA3406">
        <f>IF(Z3406="","",IF(MATCH(SUBSTITUTE(SUBSTITUTE(SUBSTITUTE(Z3406,"~","~~"),"*","~*"),"?","~?"),$Z$5:$Z$5004,0)=3402,MAX($AA$4:AA3405)+1,""))</f>
        <v/>
      </c>
    </row>
    <row r="3407" spans="1:27">
      <c r="A3407" s="9"/>
      <c r="Z3407">
        <f>TRIM(A3407&amp;"")</f>
        <v/>
      </c>
      <c r="AA3407">
        <f>IF(Z3407="","",IF(MATCH(SUBSTITUTE(SUBSTITUTE(SUBSTITUTE(Z3407,"~","~~"),"*","~*"),"?","~?"),$Z$5:$Z$5004,0)=3403,MAX($AA$4:AA3406)+1,""))</f>
        <v/>
      </c>
    </row>
    <row r="3408" spans="1:27">
      <c r="A3408" s="9"/>
      <c r="Z3408">
        <f>TRIM(A3408&amp;"")</f>
        <v/>
      </c>
      <c r="AA3408">
        <f>IF(Z3408="","",IF(MATCH(SUBSTITUTE(SUBSTITUTE(SUBSTITUTE(Z3408,"~","~~"),"*","~*"),"?","~?"),$Z$5:$Z$5004,0)=3404,MAX($AA$4:AA3407)+1,""))</f>
        <v/>
      </c>
    </row>
    <row r="3409" spans="1:27">
      <c r="A3409" s="9"/>
      <c r="Z3409">
        <f>TRIM(A3409&amp;"")</f>
        <v/>
      </c>
      <c r="AA3409">
        <f>IF(Z3409="","",IF(MATCH(SUBSTITUTE(SUBSTITUTE(SUBSTITUTE(Z3409,"~","~~"),"*","~*"),"?","~?"),$Z$5:$Z$5004,0)=3405,MAX($AA$4:AA3408)+1,""))</f>
        <v/>
      </c>
    </row>
    <row r="3410" spans="1:27">
      <c r="A3410" s="9"/>
      <c r="Z3410">
        <f>TRIM(A3410&amp;"")</f>
        <v/>
      </c>
      <c r="AA3410">
        <f>IF(Z3410="","",IF(MATCH(SUBSTITUTE(SUBSTITUTE(SUBSTITUTE(Z3410,"~","~~"),"*","~*"),"?","~?"),$Z$5:$Z$5004,0)=3406,MAX($AA$4:AA3409)+1,""))</f>
        <v/>
      </c>
    </row>
    <row r="3411" spans="1:27">
      <c r="A3411" s="9"/>
      <c r="Z3411">
        <f>TRIM(A3411&amp;"")</f>
        <v/>
      </c>
      <c r="AA3411">
        <f>IF(Z3411="","",IF(MATCH(SUBSTITUTE(SUBSTITUTE(SUBSTITUTE(Z3411,"~","~~"),"*","~*"),"?","~?"),$Z$5:$Z$5004,0)=3407,MAX($AA$4:AA3410)+1,""))</f>
        <v/>
      </c>
    </row>
    <row r="3412" spans="1:27">
      <c r="A3412" s="9"/>
      <c r="Z3412">
        <f>TRIM(A3412&amp;"")</f>
        <v/>
      </c>
      <c r="AA3412">
        <f>IF(Z3412="","",IF(MATCH(SUBSTITUTE(SUBSTITUTE(SUBSTITUTE(Z3412,"~","~~"),"*","~*"),"?","~?"),$Z$5:$Z$5004,0)=3408,MAX($AA$4:AA3411)+1,""))</f>
        <v/>
      </c>
    </row>
    <row r="3413" spans="1:27">
      <c r="A3413" s="9"/>
      <c r="Z3413">
        <f>TRIM(A3413&amp;"")</f>
        <v/>
      </c>
      <c r="AA3413">
        <f>IF(Z3413="","",IF(MATCH(SUBSTITUTE(SUBSTITUTE(SUBSTITUTE(Z3413,"~","~~"),"*","~*"),"?","~?"),$Z$5:$Z$5004,0)=3409,MAX($AA$4:AA3412)+1,""))</f>
        <v/>
      </c>
    </row>
    <row r="3414" spans="1:27">
      <c r="A3414" s="9"/>
      <c r="Z3414">
        <f>TRIM(A3414&amp;"")</f>
        <v/>
      </c>
      <c r="AA3414">
        <f>IF(Z3414="","",IF(MATCH(SUBSTITUTE(SUBSTITUTE(SUBSTITUTE(Z3414,"~","~~"),"*","~*"),"?","~?"),$Z$5:$Z$5004,0)=3410,MAX($AA$4:AA3413)+1,""))</f>
        <v/>
      </c>
    </row>
    <row r="3415" spans="1:27">
      <c r="A3415" s="9"/>
      <c r="Z3415">
        <f>TRIM(A3415&amp;"")</f>
        <v/>
      </c>
      <c r="AA3415">
        <f>IF(Z3415="","",IF(MATCH(SUBSTITUTE(SUBSTITUTE(SUBSTITUTE(Z3415,"~","~~"),"*","~*"),"?","~?"),$Z$5:$Z$5004,0)=3411,MAX($AA$4:AA3414)+1,""))</f>
        <v/>
      </c>
    </row>
    <row r="3416" spans="1:27">
      <c r="A3416" s="9"/>
      <c r="Z3416">
        <f>TRIM(A3416&amp;"")</f>
        <v/>
      </c>
      <c r="AA3416">
        <f>IF(Z3416="","",IF(MATCH(SUBSTITUTE(SUBSTITUTE(SUBSTITUTE(Z3416,"~","~~"),"*","~*"),"?","~?"),$Z$5:$Z$5004,0)=3412,MAX($AA$4:AA3415)+1,""))</f>
        <v/>
      </c>
    </row>
    <row r="3417" spans="1:27">
      <c r="A3417" s="9"/>
      <c r="Z3417">
        <f>TRIM(A3417&amp;"")</f>
        <v/>
      </c>
      <c r="AA3417">
        <f>IF(Z3417="","",IF(MATCH(SUBSTITUTE(SUBSTITUTE(SUBSTITUTE(Z3417,"~","~~"),"*","~*"),"?","~?"),$Z$5:$Z$5004,0)=3413,MAX($AA$4:AA3416)+1,""))</f>
        <v/>
      </c>
    </row>
    <row r="3418" spans="1:27">
      <c r="A3418" s="9"/>
      <c r="Z3418">
        <f>TRIM(A3418&amp;"")</f>
        <v/>
      </c>
      <c r="AA3418">
        <f>IF(Z3418="","",IF(MATCH(SUBSTITUTE(SUBSTITUTE(SUBSTITUTE(Z3418,"~","~~"),"*","~*"),"?","~?"),$Z$5:$Z$5004,0)=3414,MAX($AA$4:AA3417)+1,""))</f>
        <v/>
      </c>
    </row>
    <row r="3419" spans="1:27">
      <c r="A3419" s="9"/>
      <c r="Z3419">
        <f>TRIM(A3419&amp;"")</f>
        <v/>
      </c>
      <c r="AA3419">
        <f>IF(Z3419="","",IF(MATCH(SUBSTITUTE(SUBSTITUTE(SUBSTITUTE(Z3419,"~","~~"),"*","~*"),"?","~?"),$Z$5:$Z$5004,0)=3415,MAX($AA$4:AA3418)+1,""))</f>
        <v/>
      </c>
    </row>
    <row r="3420" spans="1:27">
      <c r="A3420" s="9"/>
      <c r="Z3420">
        <f>TRIM(A3420&amp;"")</f>
        <v/>
      </c>
      <c r="AA3420">
        <f>IF(Z3420="","",IF(MATCH(SUBSTITUTE(SUBSTITUTE(SUBSTITUTE(Z3420,"~","~~"),"*","~*"),"?","~?"),$Z$5:$Z$5004,0)=3416,MAX($AA$4:AA3419)+1,""))</f>
        <v/>
      </c>
    </row>
    <row r="3421" spans="1:27">
      <c r="A3421" s="9"/>
      <c r="Z3421">
        <f>TRIM(A3421&amp;"")</f>
        <v/>
      </c>
      <c r="AA3421">
        <f>IF(Z3421="","",IF(MATCH(SUBSTITUTE(SUBSTITUTE(SUBSTITUTE(Z3421,"~","~~"),"*","~*"),"?","~?"),$Z$5:$Z$5004,0)=3417,MAX($AA$4:AA3420)+1,""))</f>
        <v/>
      </c>
    </row>
    <row r="3422" spans="1:27">
      <c r="A3422" s="9"/>
      <c r="Z3422">
        <f>TRIM(A3422&amp;"")</f>
        <v/>
      </c>
      <c r="AA3422">
        <f>IF(Z3422="","",IF(MATCH(SUBSTITUTE(SUBSTITUTE(SUBSTITUTE(Z3422,"~","~~"),"*","~*"),"?","~?"),$Z$5:$Z$5004,0)=3418,MAX($AA$4:AA3421)+1,""))</f>
        <v/>
      </c>
    </row>
    <row r="3423" spans="1:27">
      <c r="A3423" s="9"/>
      <c r="Z3423">
        <f>TRIM(A3423&amp;"")</f>
        <v/>
      </c>
      <c r="AA3423">
        <f>IF(Z3423="","",IF(MATCH(SUBSTITUTE(SUBSTITUTE(SUBSTITUTE(Z3423,"~","~~"),"*","~*"),"?","~?"),$Z$5:$Z$5004,0)=3419,MAX($AA$4:AA3422)+1,""))</f>
        <v/>
      </c>
    </row>
    <row r="3424" spans="1:27">
      <c r="A3424" s="9"/>
      <c r="Z3424">
        <f>TRIM(A3424&amp;"")</f>
        <v/>
      </c>
      <c r="AA3424">
        <f>IF(Z3424="","",IF(MATCH(SUBSTITUTE(SUBSTITUTE(SUBSTITUTE(Z3424,"~","~~"),"*","~*"),"?","~?"),$Z$5:$Z$5004,0)=3420,MAX($AA$4:AA3423)+1,""))</f>
        <v/>
      </c>
    </row>
    <row r="3425" spans="1:27">
      <c r="A3425" s="9"/>
      <c r="Z3425">
        <f>TRIM(A3425&amp;"")</f>
        <v/>
      </c>
      <c r="AA3425">
        <f>IF(Z3425="","",IF(MATCH(SUBSTITUTE(SUBSTITUTE(SUBSTITUTE(Z3425,"~","~~"),"*","~*"),"?","~?"),$Z$5:$Z$5004,0)=3421,MAX($AA$4:AA3424)+1,""))</f>
        <v/>
      </c>
    </row>
    <row r="3426" spans="1:27">
      <c r="A3426" s="9"/>
      <c r="Z3426">
        <f>TRIM(A3426&amp;"")</f>
        <v/>
      </c>
      <c r="AA3426">
        <f>IF(Z3426="","",IF(MATCH(SUBSTITUTE(SUBSTITUTE(SUBSTITUTE(Z3426,"~","~~"),"*","~*"),"?","~?"),$Z$5:$Z$5004,0)=3422,MAX($AA$4:AA3425)+1,""))</f>
        <v/>
      </c>
    </row>
    <row r="3427" spans="1:27">
      <c r="A3427" s="9"/>
      <c r="Z3427">
        <f>TRIM(A3427&amp;"")</f>
        <v/>
      </c>
      <c r="AA3427">
        <f>IF(Z3427="","",IF(MATCH(SUBSTITUTE(SUBSTITUTE(SUBSTITUTE(Z3427,"~","~~"),"*","~*"),"?","~?"),$Z$5:$Z$5004,0)=3423,MAX($AA$4:AA3426)+1,""))</f>
        <v/>
      </c>
    </row>
    <row r="3428" spans="1:27">
      <c r="A3428" s="9"/>
      <c r="Z3428">
        <f>TRIM(A3428&amp;"")</f>
        <v/>
      </c>
      <c r="AA3428">
        <f>IF(Z3428="","",IF(MATCH(SUBSTITUTE(SUBSTITUTE(SUBSTITUTE(Z3428,"~","~~"),"*","~*"),"?","~?"),$Z$5:$Z$5004,0)=3424,MAX($AA$4:AA3427)+1,""))</f>
        <v/>
      </c>
    </row>
    <row r="3429" spans="1:27">
      <c r="A3429" s="9"/>
      <c r="Z3429">
        <f>TRIM(A3429&amp;"")</f>
        <v/>
      </c>
      <c r="AA3429">
        <f>IF(Z3429="","",IF(MATCH(SUBSTITUTE(SUBSTITUTE(SUBSTITUTE(Z3429,"~","~~"),"*","~*"),"?","~?"),$Z$5:$Z$5004,0)=3425,MAX($AA$4:AA3428)+1,""))</f>
        <v/>
      </c>
    </row>
    <row r="3430" spans="1:27">
      <c r="A3430" s="9"/>
      <c r="Z3430">
        <f>TRIM(A3430&amp;"")</f>
        <v/>
      </c>
      <c r="AA3430">
        <f>IF(Z3430="","",IF(MATCH(SUBSTITUTE(SUBSTITUTE(SUBSTITUTE(Z3430,"~","~~"),"*","~*"),"?","~?"),$Z$5:$Z$5004,0)=3426,MAX($AA$4:AA3429)+1,""))</f>
        <v/>
      </c>
    </row>
    <row r="3431" spans="1:27">
      <c r="A3431" s="9"/>
      <c r="Z3431">
        <f>TRIM(A3431&amp;"")</f>
        <v/>
      </c>
      <c r="AA3431">
        <f>IF(Z3431="","",IF(MATCH(SUBSTITUTE(SUBSTITUTE(SUBSTITUTE(Z3431,"~","~~"),"*","~*"),"?","~?"),$Z$5:$Z$5004,0)=3427,MAX($AA$4:AA3430)+1,""))</f>
        <v/>
      </c>
    </row>
    <row r="3432" spans="1:27">
      <c r="A3432" s="9"/>
      <c r="Z3432">
        <f>TRIM(A3432&amp;"")</f>
        <v/>
      </c>
      <c r="AA3432">
        <f>IF(Z3432="","",IF(MATCH(SUBSTITUTE(SUBSTITUTE(SUBSTITUTE(Z3432,"~","~~"),"*","~*"),"?","~?"),$Z$5:$Z$5004,0)=3428,MAX($AA$4:AA3431)+1,""))</f>
        <v/>
      </c>
    </row>
    <row r="3433" spans="1:27">
      <c r="A3433" s="9"/>
      <c r="Z3433">
        <f>TRIM(A3433&amp;"")</f>
        <v/>
      </c>
      <c r="AA3433">
        <f>IF(Z3433="","",IF(MATCH(SUBSTITUTE(SUBSTITUTE(SUBSTITUTE(Z3433,"~","~~"),"*","~*"),"?","~?"),$Z$5:$Z$5004,0)=3429,MAX($AA$4:AA3432)+1,""))</f>
        <v/>
      </c>
    </row>
    <row r="3434" spans="1:27">
      <c r="A3434" s="9"/>
      <c r="Z3434">
        <f>TRIM(A3434&amp;"")</f>
        <v/>
      </c>
      <c r="AA3434">
        <f>IF(Z3434="","",IF(MATCH(SUBSTITUTE(SUBSTITUTE(SUBSTITUTE(Z3434,"~","~~"),"*","~*"),"?","~?"),$Z$5:$Z$5004,0)=3430,MAX($AA$4:AA3433)+1,""))</f>
        <v/>
      </c>
    </row>
    <row r="3435" spans="1:27">
      <c r="A3435" s="9"/>
      <c r="Z3435">
        <f>TRIM(A3435&amp;"")</f>
        <v/>
      </c>
      <c r="AA3435">
        <f>IF(Z3435="","",IF(MATCH(SUBSTITUTE(SUBSTITUTE(SUBSTITUTE(Z3435,"~","~~"),"*","~*"),"?","~?"),$Z$5:$Z$5004,0)=3431,MAX($AA$4:AA3434)+1,""))</f>
        <v/>
      </c>
    </row>
    <row r="3436" spans="1:27">
      <c r="A3436" s="9"/>
      <c r="Z3436">
        <f>TRIM(A3436&amp;"")</f>
        <v/>
      </c>
      <c r="AA3436">
        <f>IF(Z3436="","",IF(MATCH(SUBSTITUTE(SUBSTITUTE(SUBSTITUTE(Z3436,"~","~~"),"*","~*"),"?","~?"),$Z$5:$Z$5004,0)=3432,MAX($AA$4:AA3435)+1,""))</f>
        <v/>
      </c>
    </row>
    <row r="3437" spans="1:27">
      <c r="A3437" s="9"/>
      <c r="Z3437">
        <f>TRIM(A3437&amp;"")</f>
        <v/>
      </c>
      <c r="AA3437">
        <f>IF(Z3437="","",IF(MATCH(SUBSTITUTE(SUBSTITUTE(SUBSTITUTE(Z3437,"~","~~"),"*","~*"),"?","~?"),$Z$5:$Z$5004,0)=3433,MAX($AA$4:AA3436)+1,""))</f>
        <v/>
      </c>
    </row>
    <row r="3438" spans="1:27">
      <c r="A3438" s="9"/>
      <c r="Z3438">
        <f>TRIM(A3438&amp;"")</f>
        <v/>
      </c>
      <c r="AA3438">
        <f>IF(Z3438="","",IF(MATCH(SUBSTITUTE(SUBSTITUTE(SUBSTITUTE(Z3438,"~","~~"),"*","~*"),"?","~?"),$Z$5:$Z$5004,0)=3434,MAX($AA$4:AA3437)+1,""))</f>
        <v/>
      </c>
    </row>
    <row r="3439" spans="1:27">
      <c r="A3439" s="9"/>
      <c r="Z3439">
        <f>TRIM(A3439&amp;"")</f>
        <v/>
      </c>
      <c r="AA3439">
        <f>IF(Z3439="","",IF(MATCH(SUBSTITUTE(SUBSTITUTE(SUBSTITUTE(Z3439,"~","~~"),"*","~*"),"?","~?"),$Z$5:$Z$5004,0)=3435,MAX($AA$4:AA3438)+1,""))</f>
        <v/>
      </c>
    </row>
    <row r="3440" spans="1:27">
      <c r="A3440" s="9"/>
      <c r="Z3440">
        <f>TRIM(A3440&amp;"")</f>
        <v/>
      </c>
      <c r="AA3440">
        <f>IF(Z3440="","",IF(MATCH(SUBSTITUTE(SUBSTITUTE(SUBSTITUTE(Z3440,"~","~~"),"*","~*"),"?","~?"),$Z$5:$Z$5004,0)=3436,MAX($AA$4:AA3439)+1,""))</f>
        <v/>
      </c>
    </row>
    <row r="3441" spans="1:27">
      <c r="A3441" s="9"/>
      <c r="Z3441">
        <f>TRIM(A3441&amp;"")</f>
        <v/>
      </c>
      <c r="AA3441">
        <f>IF(Z3441="","",IF(MATCH(SUBSTITUTE(SUBSTITUTE(SUBSTITUTE(Z3441,"~","~~"),"*","~*"),"?","~?"),$Z$5:$Z$5004,0)=3437,MAX($AA$4:AA3440)+1,""))</f>
        <v/>
      </c>
    </row>
    <row r="3442" spans="1:27">
      <c r="A3442" s="9"/>
      <c r="Z3442">
        <f>TRIM(A3442&amp;"")</f>
        <v/>
      </c>
      <c r="AA3442">
        <f>IF(Z3442="","",IF(MATCH(SUBSTITUTE(SUBSTITUTE(SUBSTITUTE(Z3442,"~","~~"),"*","~*"),"?","~?"),$Z$5:$Z$5004,0)=3438,MAX($AA$4:AA3441)+1,""))</f>
        <v/>
      </c>
    </row>
    <row r="3443" spans="1:27">
      <c r="A3443" s="9"/>
      <c r="Z3443">
        <f>TRIM(A3443&amp;"")</f>
        <v/>
      </c>
      <c r="AA3443">
        <f>IF(Z3443="","",IF(MATCH(SUBSTITUTE(SUBSTITUTE(SUBSTITUTE(Z3443,"~","~~"),"*","~*"),"?","~?"),$Z$5:$Z$5004,0)=3439,MAX($AA$4:AA3442)+1,""))</f>
        <v/>
      </c>
    </row>
    <row r="3444" spans="1:27">
      <c r="A3444" s="9"/>
      <c r="Z3444">
        <f>TRIM(A3444&amp;"")</f>
        <v/>
      </c>
      <c r="AA3444">
        <f>IF(Z3444="","",IF(MATCH(SUBSTITUTE(SUBSTITUTE(SUBSTITUTE(Z3444,"~","~~"),"*","~*"),"?","~?"),$Z$5:$Z$5004,0)=3440,MAX($AA$4:AA3443)+1,""))</f>
        <v/>
      </c>
    </row>
    <row r="3445" spans="1:27">
      <c r="A3445" s="9"/>
      <c r="Z3445">
        <f>TRIM(A3445&amp;"")</f>
        <v/>
      </c>
      <c r="AA3445">
        <f>IF(Z3445="","",IF(MATCH(SUBSTITUTE(SUBSTITUTE(SUBSTITUTE(Z3445,"~","~~"),"*","~*"),"?","~?"),$Z$5:$Z$5004,0)=3441,MAX($AA$4:AA3444)+1,""))</f>
        <v/>
      </c>
    </row>
    <row r="3446" spans="1:27">
      <c r="A3446" s="9"/>
      <c r="Z3446">
        <f>TRIM(A3446&amp;"")</f>
        <v/>
      </c>
      <c r="AA3446">
        <f>IF(Z3446="","",IF(MATCH(SUBSTITUTE(SUBSTITUTE(SUBSTITUTE(Z3446,"~","~~"),"*","~*"),"?","~?"),$Z$5:$Z$5004,0)=3442,MAX($AA$4:AA3445)+1,""))</f>
        <v/>
      </c>
    </row>
    <row r="3447" spans="1:27">
      <c r="A3447" s="9"/>
      <c r="Z3447">
        <f>TRIM(A3447&amp;"")</f>
        <v/>
      </c>
      <c r="AA3447">
        <f>IF(Z3447="","",IF(MATCH(SUBSTITUTE(SUBSTITUTE(SUBSTITUTE(Z3447,"~","~~"),"*","~*"),"?","~?"),$Z$5:$Z$5004,0)=3443,MAX($AA$4:AA3446)+1,""))</f>
        <v/>
      </c>
    </row>
    <row r="3448" spans="1:27">
      <c r="A3448" s="9"/>
      <c r="Z3448">
        <f>TRIM(A3448&amp;"")</f>
        <v/>
      </c>
      <c r="AA3448">
        <f>IF(Z3448="","",IF(MATCH(SUBSTITUTE(SUBSTITUTE(SUBSTITUTE(Z3448,"~","~~"),"*","~*"),"?","~?"),$Z$5:$Z$5004,0)=3444,MAX($AA$4:AA3447)+1,""))</f>
        <v/>
      </c>
    </row>
    <row r="3449" spans="1:27">
      <c r="A3449" s="9"/>
      <c r="Z3449">
        <f>TRIM(A3449&amp;"")</f>
        <v/>
      </c>
      <c r="AA3449">
        <f>IF(Z3449="","",IF(MATCH(SUBSTITUTE(SUBSTITUTE(SUBSTITUTE(Z3449,"~","~~"),"*","~*"),"?","~?"),$Z$5:$Z$5004,0)=3445,MAX($AA$4:AA3448)+1,""))</f>
        <v/>
      </c>
    </row>
    <row r="3450" spans="1:27">
      <c r="A3450" s="9"/>
      <c r="Z3450">
        <f>TRIM(A3450&amp;"")</f>
        <v/>
      </c>
      <c r="AA3450">
        <f>IF(Z3450="","",IF(MATCH(SUBSTITUTE(SUBSTITUTE(SUBSTITUTE(Z3450,"~","~~"),"*","~*"),"?","~?"),$Z$5:$Z$5004,0)=3446,MAX($AA$4:AA3449)+1,""))</f>
        <v/>
      </c>
    </row>
    <row r="3451" spans="1:27">
      <c r="A3451" s="9"/>
      <c r="Z3451">
        <f>TRIM(A3451&amp;"")</f>
        <v/>
      </c>
      <c r="AA3451">
        <f>IF(Z3451="","",IF(MATCH(SUBSTITUTE(SUBSTITUTE(SUBSTITUTE(Z3451,"~","~~"),"*","~*"),"?","~?"),$Z$5:$Z$5004,0)=3447,MAX($AA$4:AA3450)+1,""))</f>
        <v/>
      </c>
    </row>
    <row r="3452" spans="1:27">
      <c r="A3452" s="9"/>
      <c r="Z3452">
        <f>TRIM(A3452&amp;"")</f>
        <v/>
      </c>
      <c r="AA3452">
        <f>IF(Z3452="","",IF(MATCH(SUBSTITUTE(SUBSTITUTE(SUBSTITUTE(Z3452,"~","~~"),"*","~*"),"?","~?"),$Z$5:$Z$5004,0)=3448,MAX($AA$4:AA3451)+1,""))</f>
        <v/>
      </c>
    </row>
    <row r="3453" spans="1:27">
      <c r="A3453" s="9"/>
      <c r="Z3453">
        <f>TRIM(A3453&amp;"")</f>
        <v/>
      </c>
      <c r="AA3453">
        <f>IF(Z3453="","",IF(MATCH(SUBSTITUTE(SUBSTITUTE(SUBSTITUTE(Z3453,"~","~~"),"*","~*"),"?","~?"),$Z$5:$Z$5004,0)=3449,MAX($AA$4:AA3452)+1,""))</f>
        <v/>
      </c>
    </row>
    <row r="3454" spans="1:27">
      <c r="A3454" s="9"/>
      <c r="Z3454">
        <f>TRIM(A3454&amp;"")</f>
        <v/>
      </c>
      <c r="AA3454">
        <f>IF(Z3454="","",IF(MATCH(SUBSTITUTE(SUBSTITUTE(SUBSTITUTE(Z3454,"~","~~"),"*","~*"),"?","~?"),$Z$5:$Z$5004,0)=3450,MAX($AA$4:AA3453)+1,""))</f>
        <v/>
      </c>
    </row>
    <row r="3455" spans="1:27">
      <c r="A3455" s="9"/>
      <c r="Z3455">
        <f>TRIM(A3455&amp;"")</f>
        <v/>
      </c>
      <c r="AA3455">
        <f>IF(Z3455="","",IF(MATCH(SUBSTITUTE(SUBSTITUTE(SUBSTITUTE(Z3455,"~","~~"),"*","~*"),"?","~?"),$Z$5:$Z$5004,0)=3451,MAX($AA$4:AA3454)+1,""))</f>
        <v/>
      </c>
    </row>
    <row r="3456" spans="1:27">
      <c r="A3456" s="9"/>
      <c r="Z3456">
        <f>TRIM(A3456&amp;"")</f>
        <v/>
      </c>
      <c r="AA3456">
        <f>IF(Z3456="","",IF(MATCH(SUBSTITUTE(SUBSTITUTE(SUBSTITUTE(Z3456,"~","~~"),"*","~*"),"?","~?"),$Z$5:$Z$5004,0)=3452,MAX($AA$4:AA3455)+1,""))</f>
        <v/>
      </c>
    </row>
    <row r="3457" spans="1:27">
      <c r="A3457" s="9"/>
      <c r="Z3457">
        <f>TRIM(A3457&amp;"")</f>
        <v/>
      </c>
      <c r="AA3457">
        <f>IF(Z3457="","",IF(MATCH(SUBSTITUTE(SUBSTITUTE(SUBSTITUTE(Z3457,"~","~~"),"*","~*"),"?","~?"),$Z$5:$Z$5004,0)=3453,MAX($AA$4:AA3456)+1,""))</f>
        <v/>
      </c>
    </row>
    <row r="3458" spans="1:27">
      <c r="A3458" s="9"/>
      <c r="Z3458">
        <f>TRIM(A3458&amp;"")</f>
        <v/>
      </c>
      <c r="AA3458">
        <f>IF(Z3458="","",IF(MATCH(SUBSTITUTE(SUBSTITUTE(SUBSTITUTE(Z3458,"~","~~"),"*","~*"),"?","~?"),$Z$5:$Z$5004,0)=3454,MAX($AA$4:AA3457)+1,""))</f>
        <v/>
      </c>
    </row>
    <row r="3459" spans="1:27">
      <c r="A3459" s="9"/>
      <c r="Z3459">
        <f>TRIM(A3459&amp;"")</f>
        <v/>
      </c>
      <c r="AA3459">
        <f>IF(Z3459="","",IF(MATCH(SUBSTITUTE(SUBSTITUTE(SUBSTITUTE(Z3459,"~","~~"),"*","~*"),"?","~?"),$Z$5:$Z$5004,0)=3455,MAX($AA$4:AA3458)+1,""))</f>
        <v/>
      </c>
    </row>
    <row r="3460" spans="1:27">
      <c r="A3460" s="9"/>
      <c r="Z3460">
        <f>TRIM(A3460&amp;"")</f>
        <v/>
      </c>
      <c r="AA3460">
        <f>IF(Z3460="","",IF(MATCH(SUBSTITUTE(SUBSTITUTE(SUBSTITUTE(Z3460,"~","~~"),"*","~*"),"?","~?"),$Z$5:$Z$5004,0)=3456,MAX($AA$4:AA3459)+1,""))</f>
        <v/>
      </c>
    </row>
    <row r="3461" spans="1:27">
      <c r="A3461" s="9"/>
      <c r="Z3461">
        <f>TRIM(A3461&amp;"")</f>
        <v/>
      </c>
      <c r="AA3461">
        <f>IF(Z3461="","",IF(MATCH(SUBSTITUTE(SUBSTITUTE(SUBSTITUTE(Z3461,"~","~~"),"*","~*"),"?","~?"),$Z$5:$Z$5004,0)=3457,MAX($AA$4:AA3460)+1,""))</f>
        <v/>
      </c>
    </row>
    <row r="3462" spans="1:27">
      <c r="A3462" s="9"/>
      <c r="Z3462">
        <f>TRIM(A3462&amp;"")</f>
        <v/>
      </c>
      <c r="AA3462">
        <f>IF(Z3462="","",IF(MATCH(SUBSTITUTE(SUBSTITUTE(SUBSTITUTE(Z3462,"~","~~"),"*","~*"),"?","~?"),$Z$5:$Z$5004,0)=3458,MAX($AA$4:AA3461)+1,""))</f>
        <v/>
      </c>
    </row>
    <row r="3463" spans="1:27">
      <c r="A3463" s="9"/>
      <c r="Z3463">
        <f>TRIM(A3463&amp;"")</f>
        <v/>
      </c>
      <c r="AA3463">
        <f>IF(Z3463="","",IF(MATCH(SUBSTITUTE(SUBSTITUTE(SUBSTITUTE(Z3463,"~","~~"),"*","~*"),"?","~?"),$Z$5:$Z$5004,0)=3459,MAX($AA$4:AA3462)+1,""))</f>
        <v/>
      </c>
    </row>
    <row r="3464" spans="1:27">
      <c r="A3464" s="9"/>
      <c r="Z3464">
        <f>TRIM(A3464&amp;"")</f>
        <v/>
      </c>
      <c r="AA3464">
        <f>IF(Z3464="","",IF(MATCH(SUBSTITUTE(SUBSTITUTE(SUBSTITUTE(Z3464,"~","~~"),"*","~*"),"?","~?"),$Z$5:$Z$5004,0)=3460,MAX($AA$4:AA3463)+1,""))</f>
        <v/>
      </c>
    </row>
    <row r="3465" spans="1:27">
      <c r="A3465" s="9"/>
      <c r="Z3465">
        <f>TRIM(A3465&amp;"")</f>
        <v/>
      </c>
      <c r="AA3465">
        <f>IF(Z3465="","",IF(MATCH(SUBSTITUTE(SUBSTITUTE(SUBSTITUTE(Z3465,"~","~~"),"*","~*"),"?","~?"),$Z$5:$Z$5004,0)=3461,MAX($AA$4:AA3464)+1,""))</f>
        <v/>
      </c>
    </row>
    <row r="3466" spans="1:27">
      <c r="A3466" s="9"/>
      <c r="Z3466">
        <f>TRIM(A3466&amp;"")</f>
        <v/>
      </c>
      <c r="AA3466">
        <f>IF(Z3466="","",IF(MATCH(SUBSTITUTE(SUBSTITUTE(SUBSTITUTE(Z3466,"~","~~"),"*","~*"),"?","~?"),$Z$5:$Z$5004,0)=3462,MAX($AA$4:AA3465)+1,""))</f>
        <v/>
      </c>
    </row>
    <row r="3467" spans="1:27">
      <c r="A3467" s="9"/>
      <c r="Z3467">
        <f>TRIM(A3467&amp;"")</f>
        <v/>
      </c>
      <c r="AA3467">
        <f>IF(Z3467="","",IF(MATCH(SUBSTITUTE(SUBSTITUTE(SUBSTITUTE(Z3467,"~","~~"),"*","~*"),"?","~?"),$Z$5:$Z$5004,0)=3463,MAX($AA$4:AA3466)+1,""))</f>
        <v/>
      </c>
    </row>
    <row r="3468" spans="1:27">
      <c r="A3468" s="9"/>
      <c r="Z3468">
        <f>TRIM(A3468&amp;"")</f>
        <v/>
      </c>
      <c r="AA3468">
        <f>IF(Z3468="","",IF(MATCH(SUBSTITUTE(SUBSTITUTE(SUBSTITUTE(Z3468,"~","~~"),"*","~*"),"?","~?"),$Z$5:$Z$5004,0)=3464,MAX($AA$4:AA3467)+1,""))</f>
        <v/>
      </c>
    </row>
    <row r="3469" spans="1:27">
      <c r="A3469" s="9"/>
      <c r="Z3469">
        <f>TRIM(A3469&amp;"")</f>
        <v/>
      </c>
      <c r="AA3469">
        <f>IF(Z3469="","",IF(MATCH(SUBSTITUTE(SUBSTITUTE(SUBSTITUTE(Z3469,"~","~~"),"*","~*"),"?","~?"),$Z$5:$Z$5004,0)=3465,MAX($AA$4:AA3468)+1,""))</f>
        <v/>
      </c>
    </row>
    <row r="3470" spans="1:27">
      <c r="A3470" s="9"/>
      <c r="Z3470">
        <f>TRIM(A3470&amp;"")</f>
        <v/>
      </c>
      <c r="AA3470">
        <f>IF(Z3470="","",IF(MATCH(SUBSTITUTE(SUBSTITUTE(SUBSTITUTE(Z3470,"~","~~"),"*","~*"),"?","~?"),$Z$5:$Z$5004,0)=3466,MAX($AA$4:AA3469)+1,""))</f>
        <v/>
      </c>
    </row>
    <row r="3471" spans="1:27">
      <c r="A3471" s="9"/>
      <c r="Z3471">
        <f>TRIM(A3471&amp;"")</f>
        <v/>
      </c>
      <c r="AA3471">
        <f>IF(Z3471="","",IF(MATCH(SUBSTITUTE(SUBSTITUTE(SUBSTITUTE(Z3471,"~","~~"),"*","~*"),"?","~?"),$Z$5:$Z$5004,0)=3467,MAX($AA$4:AA3470)+1,""))</f>
        <v/>
      </c>
    </row>
    <row r="3472" spans="1:27">
      <c r="A3472" s="9"/>
      <c r="Z3472">
        <f>TRIM(A3472&amp;"")</f>
        <v/>
      </c>
      <c r="AA3472">
        <f>IF(Z3472="","",IF(MATCH(SUBSTITUTE(SUBSTITUTE(SUBSTITUTE(Z3472,"~","~~"),"*","~*"),"?","~?"),$Z$5:$Z$5004,0)=3468,MAX($AA$4:AA3471)+1,""))</f>
        <v/>
      </c>
    </row>
    <row r="3473" spans="1:27">
      <c r="A3473" s="9"/>
      <c r="Z3473">
        <f>TRIM(A3473&amp;"")</f>
        <v/>
      </c>
      <c r="AA3473">
        <f>IF(Z3473="","",IF(MATCH(SUBSTITUTE(SUBSTITUTE(SUBSTITUTE(Z3473,"~","~~"),"*","~*"),"?","~?"),$Z$5:$Z$5004,0)=3469,MAX($AA$4:AA3472)+1,""))</f>
        <v/>
      </c>
    </row>
    <row r="3474" spans="1:27">
      <c r="A3474" s="9"/>
      <c r="Z3474">
        <f>TRIM(A3474&amp;"")</f>
        <v/>
      </c>
      <c r="AA3474">
        <f>IF(Z3474="","",IF(MATCH(SUBSTITUTE(SUBSTITUTE(SUBSTITUTE(Z3474,"~","~~"),"*","~*"),"?","~?"),$Z$5:$Z$5004,0)=3470,MAX($AA$4:AA3473)+1,""))</f>
        <v/>
      </c>
    </row>
    <row r="3475" spans="1:27">
      <c r="A3475" s="9"/>
      <c r="Z3475">
        <f>TRIM(A3475&amp;"")</f>
        <v/>
      </c>
      <c r="AA3475">
        <f>IF(Z3475="","",IF(MATCH(SUBSTITUTE(SUBSTITUTE(SUBSTITUTE(Z3475,"~","~~"),"*","~*"),"?","~?"),$Z$5:$Z$5004,0)=3471,MAX($AA$4:AA3474)+1,""))</f>
        <v/>
      </c>
    </row>
    <row r="3476" spans="1:27">
      <c r="A3476" s="9"/>
      <c r="Z3476">
        <f>TRIM(A3476&amp;"")</f>
        <v/>
      </c>
      <c r="AA3476">
        <f>IF(Z3476="","",IF(MATCH(SUBSTITUTE(SUBSTITUTE(SUBSTITUTE(Z3476,"~","~~"),"*","~*"),"?","~?"),$Z$5:$Z$5004,0)=3472,MAX($AA$4:AA3475)+1,""))</f>
        <v/>
      </c>
    </row>
    <row r="3477" spans="1:27">
      <c r="A3477" s="9"/>
      <c r="Z3477">
        <f>TRIM(A3477&amp;"")</f>
        <v/>
      </c>
      <c r="AA3477">
        <f>IF(Z3477="","",IF(MATCH(SUBSTITUTE(SUBSTITUTE(SUBSTITUTE(Z3477,"~","~~"),"*","~*"),"?","~?"),$Z$5:$Z$5004,0)=3473,MAX($AA$4:AA3476)+1,""))</f>
        <v/>
      </c>
    </row>
    <row r="3478" spans="1:27">
      <c r="A3478" s="9"/>
      <c r="Z3478">
        <f>TRIM(A3478&amp;"")</f>
        <v/>
      </c>
      <c r="AA3478">
        <f>IF(Z3478="","",IF(MATCH(SUBSTITUTE(SUBSTITUTE(SUBSTITUTE(Z3478,"~","~~"),"*","~*"),"?","~?"),$Z$5:$Z$5004,0)=3474,MAX($AA$4:AA3477)+1,""))</f>
        <v/>
      </c>
    </row>
    <row r="3479" spans="1:27">
      <c r="A3479" s="9"/>
      <c r="Z3479">
        <f>TRIM(A3479&amp;"")</f>
        <v/>
      </c>
      <c r="AA3479">
        <f>IF(Z3479="","",IF(MATCH(SUBSTITUTE(SUBSTITUTE(SUBSTITUTE(Z3479,"~","~~"),"*","~*"),"?","~?"),$Z$5:$Z$5004,0)=3475,MAX($AA$4:AA3478)+1,""))</f>
        <v/>
      </c>
    </row>
    <row r="3480" spans="1:27">
      <c r="A3480" s="9"/>
      <c r="Z3480">
        <f>TRIM(A3480&amp;"")</f>
        <v/>
      </c>
      <c r="AA3480">
        <f>IF(Z3480="","",IF(MATCH(SUBSTITUTE(SUBSTITUTE(SUBSTITUTE(Z3480,"~","~~"),"*","~*"),"?","~?"),$Z$5:$Z$5004,0)=3476,MAX($AA$4:AA3479)+1,""))</f>
        <v/>
      </c>
    </row>
    <row r="3481" spans="1:27">
      <c r="A3481" s="9"/>
      <c r="Z3481">
        <f>TRIM(A3481&amp;"")</f>
        <v/>
      </c>
      <c r="AA3481">
        <f>IF(Z3481="","",IF(MATCH(SUBSTITUTE(SUBSTITUTE(SUBSTITUTE(Z3481,"~","~~"),"*","~*"),"?","~?"),$Z$5:$Z$5004,0)=3477,MAX($AA$4:AA3480)+1,""))</f>
        <v/>
      </c>
    </row>
    <row r="3482" spans="1:27">
      <c r="A3482" s="9"/>
      <c r="Z3482">
        <f>TRIM(A3482&amp;"")</f>
        <v/>
      </c>
      <c r="AA3482">
        <f>IF(Z3482="","",IF(MATCH(SUBSTITUTE(SUBSTITUTE(SUBSTITUTE(Z3482,"~","~~"),"*","~*"),"?","~?"),$Z$5:$Z$5004,0)=3478,MAX($AA$4:AA3481)+1,""))</f>
        <v/>
      </c>
    </row>
    <row r="3483" spans="1:27">
      <c r="A3483" s="9"/>
      <c r="Z3483">
        <f>TRIM(A3483&amp;"")</f>
        <v/>
      </c>
      <c r="AA3483">
        <f>IF(Z3483="","",IF(MATCH(SUBSTITUTE(SUBSTITUTE(SUBSTITUTE(Z3483,"~","~~"),"*","~*"),"?","~?"),$Z$5:$Z$5004,0)=3479,MAX($AA$4:AA3482)+1,""))</f>
        <v/>
      </c>
    </row>
    <row r="3484" spans="1:27">
      <c r="A3484" s="9"/>
      <c r="Z3484">
        <f>TRIM(A3484&amp;"")</f>
        <v/>
      </c>
      <c r="AA3484">
        <f>IF(Z3484="","",IF(MATCH(SUBSTITUTE(SUBSTITUTE(SUBSTITUTE(Z3484,"~","~~"),"*","~*"),"?","~?"),$Z$5:$Z$5004,0)=3480,MAX($AA$4:AA3483)+1,""))</f>
        <v/>
      </c>
    </row>
    <row r="3485" spans="1:27">
      <c r="A3485" s="9"/>
      <c r="Z3485">
        <f>TRIM(A3485&amp;"")</f>
        <v/>
      </c>
      <c r="AA3485">
        <f>IF(Z3485="","",IF(MATCH(SUBSTITUTE(SUBSTITUTE(SUBSTITUTE(Z3485,"~","~~"),"*","~*"),"?","~?"),$Z$5:$Z$5004,0)=3481,MAX($AA$4:AA3484)+1,""))</f>
        <v/>
      </c>
    </row>
    <row r="3486" spans="1:27">
      <c r="A3486" s="9"/>
      <c r="Z3486">
        <f>TRIM(A3486&amp;"")</f>
        <v/>
      </c>
      <c r="AA3486">
        <f>IF(Z3486="","",IF(MATCH(SUBSTITUTE(SUBSTITUTE(SUBSTITUTE(Z3486,"~","~~"),"*","~*"),"?","~?"),$Z$5:$Z$5004,0)=3482,MAX($AA$4:AA3485)+1,""))</f>
        <v/>
      </c>
    </row>
    <row r="3487" spans="1:27">
      <c r="A3487" s="9"/>
      <c r="Z3487">
        <f>TRIM(A3487&amp;"")</f>
        <v/>
      </c>
      <c r="AA3487">
        <f>IF(Z3487="","",IF(MATCH(SUBSTITUTE(SUBSTITUTE(SUBSTITUTE(Z3487,"~","~~"),"*","~*"),"?","~?"),$Z$5:$Z$5004,0)=3483,MAX($AA$4:AA3486)+1,""))</f>
        <v/>
      </c>
    </row>
    <row r="3488" spans="1:27">
      <c r="A3488" s="9"/>
      <c r="Z3488">
        <f>TRIM(A3488&amp;"")</f>
        <v/>
      </c>
      <c r="AA3488">
        <f>IF(Z3488="","",IF(MATCH(SUBSTITUTE(SUBSTITUTE(SUBSTITUTE(Z3488,"~","~~"),"*","~*"),"?","~?"),$Z$5:$Z$5004,0)=3484,MAX($AA$4:AA3487)+1,""))</f>
        <v/>
      </c>
    </row>
    <row r="3489" spans="1:27">
      <c r="A3489" s="9"/>
      <c r="Z3489">
        <f>TRIM(A3489&amp;"")</f>
        <v/>
      </c>
      <c r="AA3489">
        <f>IF(Z3489="","",IF(MATCH(SUBSTITUTE(SUBSTITUTE(SUBSTITUTE(Z3489,"~","~~"),"*","~*"),"?","~?"),$Z$5:$Z$5004,0)=3485,MAX($AA$4:AA3488)+1,""))</f>
        <v/>
      </c>
    </row>
    <row r="3490" spans="1:27">
      <c r="A3490" s="9"/>
      <c r="Z3490">
        <f>TRIM(A3490&amp;"")</f>
        <v/>
      </c>
      <c r="AA3490">
        <f>IF(Z3490="","",IF(MATCH(SUBSTITUTE(SUBSTITUTE(SUBSTITUTE(Z3490,"~","~~"),"*","~*"),"?","~?"),$Z$5:$Z$5004,0)=3486,MAX($AA$4:AA3489)+1,""))</f>
        <v/>
      </c>
    </row>
    <row r="3491" spans="1:27">
      <c r="A3491" s="9"/>
      <c r="Z3491">
        <f>TRIM(A3491&amp;"")</f>
        <v/>
      </c>
      <c r="AA3491">
        <f>IF(Z3491="","",IF(MATCH(SUBSTITUTE(SUBSTITUTE(SUBSTITUTE(Z3491,"~","~~"),"*","~*"),"?","~?"),$Z$5:$Z$5004,0)=3487,MAX($AA$4:AA3490)+1,""))</f>
        <v/>
      </c>
    </row>
    <row r="3492" spans="1:27">
      <c r="A3492" s="9"/>
      <c r="Z3492">
        <f>TRIM(A3492&amp;"")</f>
        <v/>
      </c>
      <c r="AA3492">
        <f>IF(Z3492="","",IF(MATCH(SUBSTITUTE(SUBSTITUTE(SUBSTITUTE(Z3492,"~","~~"),"*","~*"),"?","~?"),$Z$5:$Z$5004,0)=3488,MAX($AA$4:AA3491)+1,""))</f>
        <v/>
      </c>
    </row>
    <row r="3493" spans="1:27">
      <c r="A3493" s="9"/>
      <c r="Z3493">
        <f>TRIM(A3493&amp;"")</f>
        <v/>
      </c>
      <c r="AA3493">
        <f>IF(Z3493="","",IF(MATCH(SUBSTITUTE(SUBSTITUTE(SUBSTITUTE(Z3493,"~","~~"),"*","~*"),"?","~?"),$Z$5:$Z$5004,0)=3489,MAX($AA$4:AA3492)+1,""))</f>
        <v/>
      </c>
    </row>
    <row r="3494" spans="1:27">
      <c r="A3494" s="9"/>
      <c r="Z3494">
        <f>TRIM(A3494&amp;"")</f>
        <v/>
      </c>
      <c r="AA3494">
        <f>IF(Z3494="","",IF(MATCH(SUBSTITUTE(SUBSTITUTE(SUBSTITUTE(Z3494,"~","~~"),"*","~*"),"?","~?"),$Z$5:$Z$5004,0)=3490,MAX($AA$4:AA3493)+1,""))</f>
        <v/>
      </c>
    </row>
    <row r="3495" spans="1:27">
      <c r="A3495" s="9"/>
      <c r="Z3495">
        <f>TRIM(A3495&amp;"")</f>
        <v/>
      </c>
      <c r="AA3495">
        <f>IF(Z3495="","",IF(MATCH(SUBSTITUTE(SUBSTITUTE(SUBSTITUTE(Z3495,"~","~~"),"*","~*"),"?","~?"),$Z$5:$Z$5004,0)=3491,MAX($AA$4:AA3494)+1,""))</f>
        <v/>
      </c>
    </row>
    <row r="3496" spans="1:27">
      <c r="A3496" s="9"/>
      <c r="Z3496">
        <f>TRIM(A3496&amp;"")</f>
        <v/>
      </c>
      <c r="AA3496">
        <f>IF(Z3496="","",IF(MATCH(SUBSTITUTE(SUBSTITUTE(SUBSTITUTE(Z3496,"~","~~"),"*","~*"),"?","~?"),$Z$5:$Z$5004,0)=3492,MAX($AA$4:AA3495)+1,""))</f>
        <v/>
      </c>
    </row>
    <row r="3497" spans="1:27">
      <c r="A3497" s="9"/>
      <c r="Z3497">
        <f>TRIM(A3497&amp;"")</f>
        <v/>
      </c>
      <c r="AA3497">
        <f>IF(Z3497="","",IF(MATCH(SUBSTITUTE(SUBSTITUTE(SUBSTITUTE(Z3497,"~","~~"),"*","~*"),"?","~?"),$Z$5:$Z$5004,0)=3493,MAX($AA$4:AA3496)+1,""))</f>
        <v/>
      </c>
    </row>
    <row r="3498" spans="1:27">
      <c r="A3498" s="9"/>
      <c r="Z3498">
        <f>TRIM(A3498&amp;"")</f>
        <v/>
      </c>
      <c r="AA3498">
        <f>IF(Z3498="","",IF(MATCH(SUBSTITUTE(SUBSTITUTE(SUBSTITUTE(Z3498,"~","~~"),"*","~*"),"?","~?"),$Z$5:$Z$5004,0)=3494,MAX($AA$4:AA3497)+1,""))</f>
        <v/>
      </c>
    </row>
    <row r="3499" spans="1:27">
      <c r="A3499" s="9"/>
      <c r="Z3499">
        <f>TRIM(A3499&amp;"")</f>
        <v/>
      </c>
      <c r="AA3499">
        <f>IF(Z3499="","",IF(MATCH(SUBSTITUTE(SUBSTITUTE(SUBSTITUTE(Z3499,"~","~~"),"*","~*"),"?","~?"),$Z$5:$Z$5004,0)=3495,MAX($AA$4:AA3498)+1,""))</f>
        <v/>
      </c>
    </row>
    <row r="3500" spans="1:27">
      <c r="A3500" s="9"/>
      <c r="Z3500">
        <f>TRIM(A3500&amp;"")</f>
        <v/>
      </c>
      <c r="AA3500">
        <f>IF(Z3500="","",IF(MATCH(SUBSTITUTE(SUBSTITUTE(SUBSTITUTE(Z3500,"~","~~"),"*","~*"),"?","~?"),$Z$5:$Z$5004,0)=3496,MAX($AA$4:AA3499)+1,""))</f>
        <v/>
      </c>
    </row>
    <row r="3501" spans="1:27">
      <c r="A3501" s="9"/>
      <c r="Z3501">
        <f>TRIM(A3501&amp;"")</f>
        <v/>
      </c>
      <c r="AA3501">
        <f>IF(Z3501="","",IF(MATCH(SUBSTITUTE(SUBSTITUTE(SUBSTITUTE(Z3501,"~","~~"),"*","~*"),"?","~?"),$Z$5:$Z$5004,0)=3497,MAX($AA$4:AA3500)+1,""))</f>
        <v/>
      </c>
    </row>
    <row r="3502" spans="1:27">
      <c r="A3502" s="9"/>
      <c r="Z3502">
        <f>TRIM(A3502&amp;"")</f>
        <v/>
      </c>
      <c r="AA3502">
        <f>IF(Z3502="","",IF(MATCH(SUBSTITUTE(SUBSTITUTE(SUBSTITUTE(Z3502,"~","~~"),"*","~*"),"?","~?"),$Z$5:$Z$5004,0)=3498,MAX($AA$4:AA3501)+1,""))</f>
        <v/>
      </c>
    </row>
    <row r="3503" spans="1:27">
      <c r="A3503" s="9"/>
      <c r="Z3503">
        <f>TRIM(A3503&amp;"")</f>
        <v/>
      </c>
      <c r="AA3503">
        <f>IF(Z3503="","",IF(MATCH(SUBSTITUTE(SUBSTITUTE(SUBSTITUTE(Z3503,"~","~~"),"*","~*"),"?","~?"),$Z$5:$Z$5004,0)=3499,MAX($AA$4:AA3502)+1,""))</f>
        <v/>
      </c>
    </row>
    <row r="3504" spans="1:27">
      <c r="A3504" s="9"/>
      <c r="Z3504">
        <f>TRIM(A3504&amp;"")</f>
        <v/>
      </c>
      <c r="AA3504">
        <f>IF(Z3504="","",IF(MATCH(SUBSTITUTE(SUBSTITUTE(SUBSTITUTE(Z3504,"~","~~"),"*","~*"),"?","~?"),$Z$5:$Z$5004,0)=3500,MAX($AA$4:AA3503)+1,""))</f>
        <v/>
      </c>
    </row>
    <row r="3505" spans="1:27">
      <c r="A3505" s="9"/>
      <c r="Z3505">
        <f>TRIM(A3505&amp;"")</f>
        <v/>
      </c>
      <c r="AA3505">
        <f>IF(Z3505="","",IF(MATCH(SUBSTITUTE(SUBSTITUTE(SUBSTITUTE(Z3505,"~","~~"),"*","~*"),"?","~?"),$Z$5:$Z$5004,0)=3501,MAX($AA$4:AA3504)+1,""))</f>
        <v/>
      </c>
    </row>
    <row r="3506" spans="1:27">
      <c r="A3506" s="9"/>
      <c r="Z3506">
        <f>TRIM(A3506&amp;"")</f>
        <v/>
      </c>
      <c r="AA3506">
        <f>IF(Z3506="","",IF(MATCH(SUBSTITUTE(SUBSTITUTE(SUBSTITUTE(Z3506,"~","~~"),"*","~*"),"?","~?"),$Z$5:$Z$5004,0)=3502,MAX($AA$4:AA3505)+1,""))</f>
        <v/>
      </c>
    </row>
    <row r="3507" spans="1:27">
      <c r="A3507" s="9"/>
      <c r="Z3507">
        <f>TRIM(A3507&amp;"")</f>
        <v/>
      </c>
      <c r="AA3507">
        <f>IF(Z3507="","",IF(MATCH(SUBSTITUTE(SUBSTITUTE(SUBSTITUTE(Z3507,"~","~~"),"*","~*"),"?","~?"),$Z$5:$Z$5004,0)=3503,MAX($AA$4:AA3506)+1,""))</f>
        <v/>
      </c>
    </row>
    <row r="3508" spans="1:27">
      <c r="A3508" s="9"/>
      <c r="Z3508">
        <f>TRIM(A3508&amp;"")</f>
        <v/>
      </c>
      <c r="AA3508">
        <f>IF(Z3508="","",IF(MATCH(SUBSTITUTE(SUBSTITUTE(SUBSTITUTE(Z3508,"~","~~"),"*","~*"),"?","~?"),$Z$5:$Z$5004,0)=3504,MAX($AA$4:AA3507)+1,""))</f>
        <v/>
      </c>
    </row>
    <row r="3509" spans="1:27">
      <c r="A3509" s="9"/>
      <c r="Z3509">
        <f>TRIM(A3509&amp;"")</f>
        <v/>
      </c>
      <c r="AA3509">
        <f>IF(Z3509="","",IF(MATCH(SUBSTITUTE(SUBSTITUTE(SUBSTITUTE(Z3509,"~","~~"),"*","~*"),"?","~?"),$Z$5:$Z$5004,0)=3505,MAX($AA$4:AA3508)+1,""))</f>
        <v/>
      </c>
    </row>
    <row r="3510" spans="1:27">
      <c r="A3510" s="9"/>
      <c r="Z3510">
        <f>TRIM(A3510&amp;"")</f>
        <v/>
      </c>
      <c r="AA3510">
        <f>IF(Z3510="","",IF(MATCH(SUBSTITUTE(SUBSTITUTE(SUBSTITUTE(Z3510,"~","~~"),"*","~*"),"?","~?"),$Z$5:$Z$5004,0)=3506,MAX($AA$4:AA3509)+1,""))</f>
        <v/>
      </c>
    </row>
    <row r="3511" spans="1:27">
      <c r="A3511" s="9"/>
      <c r="Z3511">
        <f>TRIM(A3511&amp;"")</f>
        <v/>
      </c>
      <c r="AA3511">
        <f>IF(Z3511="","",IF(MATCH(SUBSTITUTE(SUBSTITUTE(SUBSTITUTE(Z3511,"~","~~"),"*","~*"),"?","~?"),$Z$5:$Z$5004,0)=3507,MAX($AA$4:AA3510)+1,""))</f>
        <v/>
      </c>
    </row>
    <row r="3512" spans="1:27">
      <c r="A3512" s="9"/>
      <c r="Z3512">
        <f>TRIM(A3512&amp;"")</f>
        <v/>
      </c>
      <c r="AA3512">
        <f>IF(Z3512="","",IF(MATCH(SUBSTITUTE(SUBSTITUTE(SUBSTITUTE(Z3512,"~","~~"),"*","~*"),"?","~?"),$Z$5:$Z$5004,0)=3508,MAX($AA$4:AA3511)+1,""))</f>
        <v/>
      </c>
    </row>
    <row r="3513" spans="1:27">
      <c r="A3513" s="9"/>
      <c r="Z3513">
        <f>TRIM(A3513&amp;"")</f>
        <v/>
      </c>
      <c r="AA3513">
        <f>IF(Z3513="","",IF(MATCH(SUBSTITUTE(SUBSTITUTE(SUBSTITUTE(Z3513,"~","~~"),"*","~*"),"?","~?"),$Z$5:$Z$5004,0)=3509,MAX($AA$4:AA3512)+1,""))</f>
        <v/>
      </c>
    </row>
    <row r="3514" spans="1:27">
      <c r="A3514" s="9"/>
      <c r="Z3514">
        <f>TRIM(A3514&amp;"")</f>
        <v/>
      </c>
      <c r="AA3514">
        <f>IF(Z3514="","",IF(MATCH(SUBSTITUTE(SUBSTITUTE(SUBSTITUTE(Z3514,"~","~~"),"*","~*"),"?","~?"),$Z$5:$Z$5004,0)=3510,MAX($AA$4:AA3513)+1,""))</f>
        <v/>
      </c>
    </row>
    <row r="3515" spans="1:27">
      <c r="A3515" s="9"/>
      <c r="Z3515">
        <f>TRIM(A3515&amp;"")</f>
        <v/>
      </c>
      <c r="AA3515">
        <f>IF(Z3515="","",IF(MATCH(SUBSTITUTE(SUBSTITUTE(SUBSTITUTE(Z3515,"~","~~"),"*","~*"),"?","~?"),$Z$5:$Z$5004,0)=3511,MAX($AA$4:AA3514)+1,""))</f>
        <v/>
      </c>
    </row>
    <row r="3516" spans="1:27">
      <c r="A3516" s="9"/>
      <c r="Z3516">
        <f>TRIM(A3516&amp;"")</f>
        <v/>
      </c>
      <c r="AA3516">
        <f>IF(Z3516="","",IF(MATCH(SUBSTITUTE(SUBSTITUTE(SUBSTITUTE(Z3516,"~","~~"),"*","~*"),"?","~?"),$Z$5:$Z$5004,0)=3512,MAX($AA$4:AA3515)+1,""))</f>
        <v/>
      </c>
    </row>
    <row r="3517" spans="1:27">
      <c r="A3517" s="9"/>
      <c r="Z3517">
        <f>TRIM(A3517&amp;"")</f>
        <v/>
      </c>
      <c r="AA3517">
        <f>IF(Z3517="","",IF(MATCH(SUBSTITUTE(SUBSTITUTE(SUBSTITUTE(Z3517,"~","~~"),"*","~*"),"?","~?"),$Z$5:$Z$5004,0)=3513,MAX($AA$4:AA3516)+1,""))</f>
        <v/>
      </c>
    </row>
    <row r="3518" spans="1:27">
      <c r="A3518" s="9"/>
      <c r="Z3518">
        <f>TRIM(A3518&amp;"")</f>
        <v/>
      </c>
      <c r="AA3518">
        <f>IF(Z3518="","",IF(MATCH(SUBSTITUTE(SUBSTITUTE(SUBSTITUTE(Z3518,"~","~~"),"*","~*"),"?","~?"),$Z$5:$Z$5004,0)=3514,MAX($AA$4:AA3517)+1,""))</f>
        <v/>
      </c>
    </row>
    <row r="3519" spans="1:27">
      <c r="A3519" s="9"/>
      <c r="Z3519">
        <f>TRIM(A3519&amp;"")</f>
        <v/>
      </c>
      <c r="AA3519">
        <f>IF(Z3519="","",IF(MATCH(SUBSTITUTE(SUBSTITUTE(SUBSTITUTE(Z3519,"~","~~"),"*","~*"),"?","~?"),$Z$5:$Z$5004,0)=3515,MAX($AA$4:AA3518)+1,""))</f>
        <v/>
      </c>
    </row>
    <row r="3520" spans="1:27">
      <c r="A3520" s="9"/>
      <c r="Z3520">
        <f>TRIM(A3520&amp;"")</f>
        <v/>
      </c>
      <c r="AA3520">
        <f>IF(Z3520="","",IF(MATCH(SUBSTITUTE(SUBSTITUTE(SUBSTITUTE(Z3520,"~","~~"),"*","~*"),"?","~?"),$Z$5:$Z$5004,0)=3516,MAX($AA$4:AA3519)+1,""))</f>
        <v/>
      </c>
    </row>
    <row r="3521" spans="1:27">
      <c r="A3521" s="9"/>
      <c r="Z3521">
        <f>TRIM(A3521&amp;"")</f>
        <v/>
      </c>
      <c r="AA3521">
        <f>IF(Z3521="","",IF(MATCH(SUBSTITUTE(SUBSTITUTE(SUBSTITUTE(Z3521,"~","~~"),"*","~*"),"?","~?"),$Z$5:$Z$5004,0)=3517,MAX($AA$4:AA3520)+1,""))</f>
        <v/>
      </c>
    </row>
    <row r="3522" spans="1:27">
      <c r="A3522" s="9"/>
      <c r="Z3522">
        <f>TRIM(A3522&amp;"")</f>
        <v/>
      </c>
      <c r="AA3522">
        <f>IF(Z3522="","",IF(MATCH(SUBSTITUTE(SUBSTITUTE(SUBSTITUTE(Z3522,"~","~~"),"*","~*"),"?","~?"),$Z$5:$Z$5004,0)=3518,MAX($AA$4:AA3521)+1,""))</f>
        <v/>
      </c>
    </row>
    <row r="3523" spans="1:27">
      <c r="A3523" s="9"/>
      <c r="Z3523">
        <f>TRIM(A3523&amp;"")</f>
        <v/>
      </c>
      <c r="AA3523">
        <f>IF(Z3523="","",IF(MATCH(SUBSTITUTE(SUBSTITUTE(SUBSTITUTE(Z3523,"~","~~"),"*","~*"),"?","~?"),$Z$5:$Z$5004,0)=3519,MAX($AA$4:AA3522)+1,""))</f>
        <v/>
      </c>
    </row>
    <row r="3524" spans="1:27">
      <c r="A3524" s="9"/>
      <c r="Z3524">
        <f>TRIM(A3524&amp;"")</f>
        <v/>
      </c>
      <c r="AA3524">
        <f>IF(Z3524="","",IF(MATCH(SUBSTITUTE(SUBSTITUTE(SUBSTITUTE(Z3524,"~","~~"),"*","~*"),"?","~?"),$Z$5:$Z$5004,0)=3520,MAX($AA$4:AA3523)+1,""))</f>
        <v/>
      </c>
    </row>
    <row r="3525" spans="1:27">
      <c r="A3525" s="9"/>
      <c r="Z3525">
        <f>TRIM(A3525&amp;"")</f>
        <v/>
      </c>
      <c r="AA3525">
        <f>IF(Z3525="","",IF(MATCH(SUBSTITUTE(SUBSTITUTE(SUBSTITUTE(Z3525,"~","~~"),"*","~*"),"?","~?"),$Z$5:$Z$5004,0)=3521,MAX($AA$4:AA3524)+1,""))</f>
        <v/>
      </c>
    </row>
    <row r="3526" spans="1:27">
      <c r="A3526" s="9"/>
      <c r="Z3526">
        <f>TRIM(A3526&amp;"")</f>
        <v/>
      </c>
      <c r="AA3526">
        <f>IF(Z3526="","",IF(MATCH(SUBSTITUTE(SUBSTITUTE(SUBSTITUTE(Z3526,"~","~~"),"*","~*"),"?","~?"),$Z$5:$Z$5004,0)=3522,MAX($AA$4:AA3525)+1,""))</f>
        <v/>
      </c>
    </row>
    <row r="3527" spans="1:27">
      <c r="A3527" s="9"/>
      <c r="Z3527">
        <f>TRIM(A3527&amp;"")</f>
        <v/>
      </c>
      <c r="AA3527">
        <f>IF(Z3527="","",IF(MATCH(SUBSTITUTE(SUBSTITUTE(SUBSTITUTE(Z3527,"~","~~"),"*","~*"),"?","~?"),$Z$5:$Z$5004,0)=3523,MAX($AA$4:AA3526)+1,""))</f>
        <v/>
      </c>
    </row>
    <row r="3528" spans="1:27">
      <c r="A3528" s="9"/>
      <c r="Z3528">
        <f>TRIM(A3528&amp;"")</f>
        <v/>
      </c>
      <c r="AA3528">
        <f>IF(Z3528="","",IF(MATCH(SUBSTITUTE(SUBSTITUTE(SUBSTITUTE(Z3528,"~","~~"),"*","~*"),"?","~?"),$Z$5:$Z$5004,0)=3524,MAX($AA$4:AA3527)+1,""))</f>
        <v/>
      </c>
    </row>
    <row r="3529" spans="1:27">
      <c r="A3529" s="9"/>
      <c r="Z3529">
        <f>TRIM(A3529&amp;"")</f>
        <v/>
      </c>
      <c r="AA3529">
        <f>IF(Z3529="","",IF(MATCH(SUBSTITUTE(SUBSTITUTE(SUBSTITUTE(Z3529,"~","~~"),"*","~*"),"?","~?"),$Z$5:$Z$5004,0)=3525,MAX($AA$4:AA3528)+1,""))</f>
        <v/>
      </c>
    </row>
    <row r="3530" spans="1:27">
      <c r="A3530" s="9"/>
      <c r="Z3530">
        <f>TRIM(A3530&amp;"")</f>
        <v/>
      </c>
      <c r="AA3530">
        <f>IF(Z3530="","",IF(MATCH(SUBSTITUTE(SUBSTITUTE(SUBSTITUTE(Z3530,"~","~~"),"*","~*"),"?","~?"),$Z$5:$Z$5004,0)=3526,MAX($AA$4:AA3529)+1,""))</f>
        <v/>
      </c>
    </row>
    <row r="3531" spans="1:27">
      <c r="A3531" s="9"/>
      <c r="Z3531">
        <f>TRIM(A3531&amp;"")</f>
        <v/>
      </c>
      <c r="AA3531">
        <f>IF(Z3531="","",IF(MATCH(SUBSTITUTE(SUBSTITUTE(SUBSTITUTE(Z3531,"~","~~"),"*","~*"),"?","~?"),$Z$5:$Z$5004,0)=3527,MAX($AA$4:AA3530)+1,""))</f>
        <v/>
      </c>
    </row>
    <row r="3532" spans="1:27">
      <c r="A3532" s="9"/>
      <c r="Z3532">
        <f>TRIM(A3532&amp;"")</f>
        <v/>
      </c>
      <c r="AA3532">
        <f>IF(Z3532="","",IF(MATCH(SUBSTITUTE(SUBSTITUTE(SUBSTITUTE(Z3532,"~","~~"),"*","~*"),"?","~?"),$Z$5:$Z$5004,0)=3528,MAX($AA$4:AA3531)+1,""))</f>
        <v/>
      </c>
    </row>
    <row r="3533" spans="1:27">
      <c r="A3533" s="9"/>
      <c r="Z3533">
        <f>TRIM(A3533&amp;"")</f>
        <v/>
      </c>
      <c r="AA3533">
        <f>IF(Z3533="","",IF(MATCH(SUBSTITUTE(SUBSTITUTE(SUBSTITUTE(Z3533,"~","~~"),"*","~*"),"?","~?"),$Z$5:$Z$5004,0)=3529,MAX($AA$4:AA3532)+1,""))</f>
        <v/>
      </c>
    </row>
    <row r="3534" spans="1:27">
      <c r="A3534" s="9"/>
      <c r="Z3534">
        <f>TRIM(A3534&amp;"")</f>
        <v/>
      </c>
      <c r="AA3534">
        <f>IF(Z3534="","",IF(MATCH(SUBSTITUTE(SUBSTITUTE(SUBSTITUTE(Z3534,"~","~~"),"*","~*"),"?","~?"),$Z$5:$Z$5004,0)=3530,MAX($AA$4:AA3533)+1,""))</f>
        <v/>
      </c>
    </row>
    <row r="3535" spans="1:27">
      <c r="A3535" s="9"/>
      <c r="Z3535">
        <f>TRIM(A3535&amp;"")</f>
        <v/>
      </c>
      <c r="AA3535">
        <f>IF(Z3535="","",IF(MATCH(SUBSTITUTE(SUBSTITUTE(SUBSTITUTE(Z3535,"~","~~"),"*","~*"),"?","~?"),$Z$5:$Z$5004,0)=3531,MAX($AA$4:AA3534)+1,""))</f>
        <v/>
      </c>
    </row>
    <row r="3536" spans="1:27">
      <c r="A3536" s="9"/>
      <c r="Z3536">
        <f>TRIM(A3536&amp;"")</f>
        <v/>
      </c>
      <c r="AA3536">
        <f>IF(Z3536="","",IF(MATCH(SUBSTITUTE(SUBSTITUTE(SUBSTITUTE(Z3536,"~","~~"),"*","~*"),"?","~?"),$Z$5:$Z$5004,0)=3532,MAX($AA$4:AA3535)+1,""))</f>
        <v/>
      </c>
    </row>
    <row r="3537" spans="1:27">
      <c r="A3537" s="9"/>
      <c r="Z3537">
        <f>TRIM(A3537&amp;"")</f>
        <v/>
      </c>
      <c r="AA3537">
        <f>IF(Z3537="","",IF(MATCH(SUBSTITUTE(SUBSTITUTE(SUBSTITUTE(Z3537,"~","~~"),"*","~*"),"?","~?"),$Z$5:$Z$5004,0)=3533,MAX($AA$4:AA3536)+1,""))</f>
        <v/>
      </c>
    </row>
    <row r="3538" spans="1:27">
      <c r="A3538" s="9"/>
      <c r="Z3538">
        <f>TRIM(A3538&amp;"")</f>
        <v/>
      </c>
      <c r="AA3538">
        <f>IF(Z3538="","",IF(MATCH(SUBSTITUTE(SUBSTITUTE(SUBSTITUTE(Z3538,"~","~~"),"*","~*"),"?","~?"),$Z$5:$Z$5004,0)=3534,MAX($AA$4:AA3537)+1,""))</f>
        <v/>
      </c>
    </row>
    <row r="3539" spans="1:27">
      <c r="A3539" s="9"/>
      <c r="Z3539">
        <f>TRIM(A3539&amp;"")</f>
        <v/>
      </c>
      <c r="AA3539">
        <f>IF(Z3539="","",IF(MATCH(SUBSTITUTE(SUBSTITUTE(SUBSTITUTE(Z3539,"~","~~"),"*","~*"),"?","~?"),$Z$5:$Z$5004,0)=3535,MAX($AA$4:AA3538)+1,""))</f>
        <v/>
      </c>
    </row>
    <row r="3540" spans="1:27">
      <c r="A3540" s="9"/>
      <c r="Z3540">
        <f>TRIM(A3540&amp;"")</f>
        <v/>
      </c>
      <c r="AA3540">
        <f>IF(Z3540="","",IF(MATCH(SUBSTITUTE(SUBSTITUTE(SUBSTITUTE(Z3540,"~","~~"),"*","~*"),"?","~?"),$Z$5:$Z$5004,0)=3536,MAX($AA$4:AA3539)+1,""))</f>
        <v/>
      </c>
    </row>
    <row r="3541" spans="1:27">
      <c r="A3541" s="9"/>
      <c r="Z3541">
        <f>TRIM(A3541&amp;"")</f>
        <v/>
      </c>
      <c r="AA3541">
        <f>IF(Z3541="","",IF(MATCH(SUBSTITUTE(SUBSTITUTE(SUBSTITUTE(Z3541,"~","~~"),"*","~*"),"?","~?"),$Z$5:$Z$5004,0)=3537,MAX($AA$4:AA3540)+1,""))</f>
        <v/>
      </c>
    </row>
    <row r="3542" spans="1:27">
      <c r="A3542" s="9"/>
      <c r="Z3542">
        <f>TRIM(A3542&amp;"")</f>
        <v/>
      </c>
      <c r="AA3542">
        <f>IF(Z3542="","",IF(MATCH(SUBSTITUTE(SUBSTITUTE(SUBSTITUTE(Z3542,"~","~~"),"*","~*"),"?","~?"),$Z$5:$Z$5004,0)=3538,MAX($AA$4:AA3541)+1,""))</f>
        <v/>
      </c>
    </row>
    <row r="3543" spans="1:27">
      <c r="A3543" s="9"/>
      <c r="Z3543">
        <f>TRIM(A3543&amp;"")</f>
        <v/>
      </c>
      <c r="AA3543">
        <f>IF(Z3543="","",IF(MATCH(SUBSTITUTE(SUBSTITUTE(SUBSTITUTE(Z3543,"~","~~"),"*","~*"),"?","~?"),$Z$5:$Z$5004,0)=3539,MAX($AA$4:AA3542)+1,""))</f>
        <v/>
      </c>
    </row>
    <row r="3544" spans="1:27">
      <c r="A3544" s="9"/>
      <c r="Z3544">
        <f>TRIM(A3544&amp;"")</f>
        <v/>
      </c>
      <c r="AA3544">
        <f>IF(Z3544="","",IF(MATCH(SUBSTITUTE(SUBSTITUTE(SUBSTITUTE(Z3544,"~","~~"),"*","~*"),"?","~?"),$Z$5:$Z$5004,0)=3540,MAX($AA$4:AA3543)+1,""))</f>
        <v/>
      </c>
    </row>
    <row r="3545" spans="1:27">
      <c r="A3545" s="9"/>
      <c r="Z3545">
        <f>TRIM(A3545&amp;"")</f>
        <v/>
      </c>
      <c r="AA3545">
        <f>IF(Z3545="","",IF(MATCH(SUBSTITUTE(SUBSTITUTE(SUBSTITUTE(Z3545,"~","~~"),"*","~*"),"?","~?"),$Z$5:$Z$5004,0)=3541,MAX($AA$4:AA3544)+1,""))</f>
        <v/>
      </c>
    </row>
    <row r="3546" spans="1:27">
      <c r="A3546" s="9"/>
      <c r="Z3546">
        <f>TRIM(A3546&amp;"")</f>
        <v/>
      </c>
      <c r="AA3546">
        <f>IF(Z3546="","",IF(MATCH(SUBSTITUTE(SUBSTITUTE(SUBSTITUTE(Z3546,"~","~~"),"*","~*"),"?","~?"),$Z$5:$Z$5004,0)=3542,MAX($AA$4:AA3545)+1,""))</f>
        <v/>
      </c>
    </row>
    <row r="3547" spans="1:27">
      <c r="A3547" s="9"/>
      <c r="Z3547">
        <f>TRIM(A3547&amp;"")</f>
        <v/>
      </c>
      <c r="AA3547">
        <f>IF(Z3547="","",IF(MATCH(SUBSTITUTE(SUBSTITUTE(SUBSTITUTE(Z3547,"~","~~"),"*","~*"),"?","~?"),$Z$5:$Z$5004,0)=3543,MAX($AA$4:AA3546)+1,""))</f>
        <v/>
      </c>
    </row>
    <row r="3548" spans="1:27">
      <c r="A3548" s="9"/>
      <c r="Z3548">
        <f>TRIM(A3548&amp;"")</f>
        <v/>
      </c>
      <c r="AA3548">
        <f>IF(Z3548="","",IF(MATCH(SUBSTITUTE(SUBSTITUTE(SUBSTITUTE(Z3548,"~","~~"),"*","~*"),"?","~?"),$Z$5:$Z$5004,0)=3544,MAX($AA$4:AA3547)+1,""))</f>
        <v/>
      </c>
    </row>
    <row r="3549" spans="1:27">
      <c r="A3549" s="9"/>
      <c r="Z3549">
        <f>TRIM(A3549&amp;"")</f>
        <v/>
      </c>
      <c r="AA3549">
        <f>IF(Z3549="","",IF(MATCH(SUBSTITUTE(SUBSTITUTE(SUBSTITUTE(Z3549,"~","~~"),"*","~*"),"?","~?"),$Z$5:$Z$5004,0)=3545,MAX($AA$4:AA3548)+1,""))</f>
        <v/>
      </c>
    </row>
    <row r="3550" spans="1:27">
      <c r="A3550" s="9"/>
      <c r="Z3550">
        <f>TRIM(A3550&amp;"")</f>
        <v/>
      </c>
      <c r="AA3550">
        <f>IF(Z3550="","",IF(MATCH(SUBSTITUTE(SUBSTITUTE(SUBSTITUTE(Z3550,"~","~~"),"*","~*"),"?","~?"),$Z$5:$Z$5004,0)=3546,MAX($AA$4:AA3549)+1,""))</f>
        <v/>
      </c>
    </row>
    <row r="3551" spans="1:27">
      <c r="A3551" s="9"/>
      <c r="Z3551">
        <f>TRIM(A3551&amp;"")</f>
        <v/>
      </c>
      <c r="AA3551">
        <f>IF(Z3551="","",IF(MATCH(SUBSTITUTE(SUBSTITUTE(SUBSTITUTE(Z3551,"~","~~"),"*","~*"),"?","~?"),$Z$5:$Z$5004,0)=3547,MAX($AA$4:AA3550)+1,""))</f>
        <v/>
      </c>
    </row>
    <row r="3552" spans="1:27">
      <c r="A3552" s="9"/>
      <c r="Z3552">
        <f>TRIM(A3552&amp;"")</f>
        <v/>
      </c>
      <c r="AA3552">
        <f>IF(Z3552="","",IF(MATCH(SUBSTITUTE(SUBSTITUTE(SUBSTITUTE(Z3552,"~","~~"),"*","~*"),"?","~?"),$Z$5:$Z$5004,0)=3548,MAX($AA$4:AA3551)+1,""))</f>
        <v/>
      </c>
    </row>
    <row r="3553" spans="1:27">
      <c r="A3553" s="9"/>
      <c r="Z3553">
        <f>TRIM(A3553&amp;"")</f>
        <v/>
      </c>
      <c r="AA3553">
        <f>IF(Z3553="","",IF(MATCH(SUBSTITUTE(SUBSTITUTE(SUBSTITUTE(Z3553,"~","~~"),"*","~*"),"?","~?"),$Z$5:$Z$5004,0)=3549,MAX($AA$4:AA3552)+1,""))</f>
        <v/>
      </c>
    </row>
    <row r="3554" spans="1:27">
      <c r="A3554" s="9"/>
      <c r="Z3554">
        <f>TRIM(A3554&amp;"")</f>
        <v/>
      </c>
      <c r="AA3554">
        <f>IF(Z3554="","",IF(MATCH(SUBSTITUTE(SUBSTITUTE(SUBSTITUTE(Z3554,"~","~~"),"*","~*"),"?","~?"),$Z$5:$Z$5004,0)=3550,MAX($AA$4:AA3553)+1,""))</f>
        <v/>
      </c>
    </row>
    <row r="3555" spans="1:27">
      <c r="A3555" s="9"/>
      <c r="Z3555">
        <f>TRIM(A3555&amp;"")</f>
        <v/>
      </c>
      <c r="AA3555">
        <f>IF(Z3555="","",IF(MATCH(SUBSTITUTE(SUBSTITUTE(SUBSTITUTE(Z3555,"~","~~"),"*","~*"),"?","~?"),$Z$5:$Z$5004,0)=3551,MAX($AA$4:AA3554)+1,""))</f>
        <v/>
      </c>
    </row>
    <row r="3556" spans="1:27">
      <c r="A3556" s="9"/>
      <c r="Z3556">
        <f>TRIM(A3556&amp;"")</f>
        <v/>
      </c>
      <c r="AA3556">
        <f>IF(Z3556="","",IF(MATCH(SUBSTITUTE(SUBSTITUTE(SUBSTITUTE(Z3556,"~","~~"),"*","~*"),"?","~?"),$Z$5:$Z$5004,0)=3552,MAX($AA$4:AA3555)+1,""))</f>
        <v/>
      </c>
    </row>
    <row r="3557" spans="1:27">
      <c r="A3557" s="9"/>
      <c r="Z3557">
        <f>TRIM(A3557&amp;"")</f>
        <v/>
      </c>
      <c r="AA3557">
        <f>IF(Z3557="","",IF(MATCH(SUBSTITUTE(SUBSTITUTE(SUBSTITUTE(Z3557,"~","~~"),"*","~*"),"?","~?"),$Z$5:$Z$5004,0)=3553,MAX($AA$4:AA3556)+1,""))</f>
        <v/>
      </c>
    </row>
    <row r="3558" spans="1:27">
      <c r="A3558" s="9"/>
      <c r="Z3558">
        <f>TRIM(A3558&amp;"")</f>
        <v/>
      </c>
      <c r="AA3558">
        <f>IF(Z3558="","",IF(MATCH(SUBSTITUTE(SUBSTITUTE(SUBSTITUTE(Z3558,"~","~~"),"*","~*"),"?","~?"),$Z$5:$Z$5004,0)=3554,MAX($AA$4:AA3557)+1,""))</f>
        <v/>
      </c>
    </row>
    <row r="3559" spans="1:27">
      <c r="A3559" s="9"/>
      <c r="Z3559">
        <f>TRIM(A3559&amp;"")</f>
        <v/>
      </c>
      <c r="AA3559">
        <f>IF(Z3559="","",IF(MATCH(SUBSTITUTE(SUBSTITUTE(SUBSTITUTE(Z3559,"~","~~"),"*","~*"),"?","~?"),$Z$5:$Z$5004,0)=3555,MAX($AA$4:AA3558)+1,""))</f>
        <v/>
      </c>
    </row>
    <row r="3560" spans="1:27">
      <c r="A3560" s="9"/>
      <c r="Z3560">
        <f>TRIM(A3560&amp;"")</f>
        <v/>
      </c>
      <c r="AA3560">
        <f>IF(Z3560="","",IF(MATCH(SUBSTITUTE(SUBSTITUTE(SUBSTITUTE(Z3560,"~","~~"),"*","~*"),"?","~?"),$Z$5:$Z$5004,0)=3556,MAX($AA$4:AA3559)+1,""))</f>
        <v/>
      </c>
    </row>
    <row r="3561" spans="1:27">
      <c r="A3561" s="9"/>
      <c r="Z3561">
        <f>TRIM(A3561&amp;"")</f>
        <v/>
      </c>
      <c r="AA3561">
        <f>IF(Z3561="","",IF(MATCH(SUBSTITUTE(SUBSTITUTE(SUBSTITUTE(Z3561,"~","~~"),"*","~*"),"?","~?"),$Z$5:$Z$5004,0)=3557,MAX($AA$4:AA3560)+1,""))</f>
        <v/>
      </c>
    </row>
    <row r="3562" spans="1:27">
      <c r="A3562" s="9"/>
      <c r="Z3562">
        <f>TRIM(A3562&amp;"")</f>
        <v/>
      </c>
      <c r="AA3562">
        <f>IF(Z3562="","",IF(MATCH(SUBSTITUTE(SUBSTITUTE(SUBSTITUTE(Z3562,"~","~~"),"*","~*"),"?","~?"),$Z$5:$Z$5004,0)=3558,MAX($AA$4:AA3561)+1,""))</f>
        <v/>
      </c>
    </row>
    <row r="3563" spans="1:27">
      <c r="A3563" s="9"/>
      <c r="Z3563">
        <f>TRIM(A3563&amp;"")</f>
        <v/>
      </c>
      <c r="AA3563">
        <f>IF(Z3563="","",IF(MATCH(SUBSTITUTE(SUBSTITUTE(SUBSTITUTE(Z3563,"~","~~"),"*","~*"),"?","~?"),$Z$5:$Z$5004,0)=3559,MAX($AA$4:AA3562)+1,""))</f>
        <v/>
      </c>
    </row>
    <row r="3564" spans="1:27">
      <c r="A3564" s="9"/>
      <c r="Z3564">
        <f>TRIM(A3564&amp;"")</f>
        <v/>
      </c>
      <c r="AA3564">
        <f>IF(Z3564="","",IF(MATCH(SUBSTITUTE(SUBSTITUTE(SUBSTITUTE(Z3564,"~","~~"),"*","~*"),"?","~?"),$Z$5:$Z$5004,0)=3560,MAX($AA$4:AA3563)+1,""))</f>
        <v/>
      </c>
    </row>
    <row r="3565" spans="1:27">
      <c r="A3565" s="9"/>
      <c r="Z3565">
        <f>TRIM(A3565&amp;"")</f>
        <v/>
      </c>
      <c r="AA3565">
        <f>IF(Z3565="","",IF(MATCH(SUBSTITUTE(SUBSTITUTE(SUBSTITUTE(Z3565,"~","~~"),"*","~*"),"?","~?"),$Z$5:$Z$5004,0)=3561,MAX($AA$4:AA3564)+1,""))</f>
        <v/>
      </c>
    </row>
    <row r="3566" spans="1:27">
      <c r="A3566" s="9"/>
      <c r="Z3566">
        <f>TRIM(A3566&amp;"")</f>
        <v/>
      </c>
      <c r="AA3566">
        <f>IF(Z3566="","",IF(MATCH(SUBSTITUTE(SUBSTITUTE(SUBSTITUTE(Z3566,"~","~~"),"*","~*"),"?","~?"),$Z$5:$Z$5004,0)=3562,MAX($AA$4:AA3565)+1,""))</f>
        <v/>
      </c>
    </row>
    <row r="3567" spans="1:27">
      <c r="A3567" s="9"/>
      <c r="Z3567">
        <f>TRIM(A3567&amp;"")</f>
        <v/>
      </c>
      <c r="AA3567">
        <f>IF(Z3567="","",IF(MATCH(SUBSTITUTE(SUBSTITUTE(SUBSTITUTE(Z3567,"~","~~"),"*","~*"),"?","~?"),$Z$5:$Z$5004,0)=3563,MAX($AA$4:AA3566)+1,""))</f>
        <v/>
      </c>
    </row>
    <row r="3568" spans="1:27">
      <c r="A3568" s="9"/>
      <c r="Z3568">
        <f>TRIM(A3568&amp;"")</f>
        <v/>
      </c>
      <c r="AA3568">
        <f>IF(Z3568="","",IF(MATCH(SUBSTITUTE(SUBSTITUTE(SUBSTITUTE(Z3568,"~","~~"),"*","~*"),"?","~?"),$Z$5:$Z$5004,0)=3564,MAX($AA$4:AA3567)+1,""))</f>
        <v/>
      </c>
    </row>
    <row r="3569" spans="1:27">
      <c r="A3569" s="9"/>
      <c r="Z3569">
        <f>TRIM(A3569&amp;"")</f>
        <v/>
      </c>
      <c r="AA3569">
        <f>IF(Z3569="","",IF(MATCH(SUBSTITUTE(SUBSTITUTE(SUBSTITUTE(Z3569,"~","~~"),"*","~*"),"?","~?"),$Z$5:$Z$5004,0)=3565,MAX($AA$4:AA3568)+1,""))</f>
        <v/>
      </c>
    </row>
    <row r="3570" spans="1:27">
      <c r="A3570" s="9"/>
      <c r="Z3570">
        <f>TRIM(A3570&amp;"")</f>
        <v/>
      </c>
      <c r="AA3570">
        <f>IF(Z3570="","",IF(MATCH(SUBSTITUTE(SUBSTITUTE(SUBSTITUTE(Z3570,"~","~~"),"*","~*"),"?","~?"),$Z$5:$Z$5004,0)=3566,MAX($AA$4:AA3569)+1,""))</f>
        <v/>
      </c>
    </row>
    <row r="3571" spans="1:27">
      <c r="A3571" s="9"/>
      <c r="Z3571">
        <f>TRIM(A3571&amp;"")</f>
        <v/>
      </c>
      <c r="AA3571">
        <f>IF(Z3571="","",IF(MATCH(SUBSTITUTE(SUBSTITUTE(SUBSTITUTE(Z3571,"~","~~"),"*","~*"),"?","~?"),$Z$5:$Z$5004,0)=3567,MAX($AA$4:AA3570)+1,""))</f>
        <v/>
      </c>
    </row>
    <row r="3572" spans="1:27">
      <c r="A3572" s="9"/>
      <c r="Z3572">
        <f>TRIM(A3572&amp;"")</f>
        <v/>
      </c>
      <c r="AA3572">
        <f>IF(Z3572="","",IF(MATCH(SUBSTITUTE(SUBSTITUTE(SUBSTITUTE(Z3572,"~","~~"),"*","~*"),"?","~?"),$Z$5:$Z$5004,0)=3568,MAX($AA$4:AA3571)+1,""))</f>
        <v/>
      </c>
    </row>
    <row r="3573" spans="1:27">
      <c r="A3573" s="9"/>
      <c r="Z3573">
        <f>TRIM(A3573&amp;"")</f>
        <v/>
      </c>
      <c r="AA3573">
        <f>IF(Z3573="","",IF(MATCH(SUBSTITUTE(SUBSTITUTE(SUBSTITUTE(Z3573,"~","~~"),"*","~*"),"?","~?"),$Z$5:$Z$5004,0)=3569,MAX($AA$4:AA3572)+1,""))</f>
        <v/>
      </c>
    </row>
    <row r="3574" spans="1:27">
      <c r="A3574" s="9"/>
      <c r="Z3574">
        <f>TRIM(A3574&amp;"")</f>
        <v/>
      </c>
      <c r="AA3574">
        <f>IF(Z3574="","",IF(MATCH(SUBSTITUTE(SUBSTITUTE(SUBSTITUTE(Z3574,"~","~~"),"*","~*"),"?","~?"),$Z$5:$Z$5004,0)=3570,MAX($AA$4:AA3573)+1,""))</f>
        <v/>
      </c>
    </row>
    <row r="3575" spans="1:27">
      <c r="A3575" s="9"/>
      <c r="Z3575">
        <f>TRIM(A3575&amp;"")</f>
        <v/>
      </c>
      <c r="AA3575">
        <f>IF(Z3575="","",IF(MATCH(SUBSTITUTE(SUBSTITUTE(SUBSTITUTE(Z3575,"~","~~"),"*","~*"),"?","~?"),$Z$5:$Z$5004,0)=3571,MAX($AA$4:AA3574)+1,""))</f>
        <v/>
      </c>
    </row>
    <row r="3576" spans="1:27">
      <c r="A3576" s="9"/>
      <c r="Z3576">
        <f>TRIM(A3576&amp;"")</f>
        <v/>
      </c>
      <c r="AA3576">
        <f>IF(Z3576="","",IF(MATCH(SUBSTITUTE(SUBSTITUTE(SUBSTITUTE(Z3576,"~","~~"),"*","~*"),"?","~?"),$Z$5:$Z$5004,0)=3572,MAX($AA$4:AA3575)+1,""))</f>
        <v/>
      </c>
    </row>
    <row r="3577" spans="1:27">
      <c r="A3577" s="9"/>
      <c r="Z3577">
        <f>TRIM(A3577&amp;"")</f>
        <v/>
      </c>
      <c r="AA3577">
        <f>IF(Z3577="","",IF(MATCH(SUBSTITUTE(SUBSTITUTE(SUBSTITUTE(Z3577,"~","~~"),"*","~*"),"?","~?"),$Z$5:$Z$5004,0)=3573,MAX($AA$4:AA3576)+1,""))</f>
        <v/>
      </c>
    </row>
    <row r="3578" spans="1:27">
      <c r="A3578" s="9"/>
      <c r="Z3578">
        <f>TRIM(A3578&amp;"")</f>
        <v/>
      </c>
      <c r="AA3578">
        <f>IF(Z3578="","",IF(MATCH(SUBSTITUTE(SUBSTITUTE(SUBSTITUTE(Z3578,"~","~~"),"*","~*"),"?","~?"),$Z$5:$Z$5004,0)=3574,MAX($AA$4:AA3577)+1,""))</f>
        <v/>
      </c>
    </row>
    <row r="3579" spans="1:27">
      <c r="A3579" s="9"/>
      <c r="Z3579">
        <f>TRIM(A3579&amp;"")</f>
        <v/>
      </c>
      <c r="AA3579">
        <f>IF(Z3579="","",IF(MATCH(SUBSTITUTE(SUBSTITUTE(SUBSTITUTE(Z3579,"~","~~"),"*","~*"),"?","~?"),$Z$5:$Z$5004,0)=3575,MAX($AA$4:AA3578)+1,""))</f>
        <v/>
      </c>
    </row>
    <row r="3580" spans="1:27">
      <c r="A3580" s="9"/>
      <c r="Z3580">
        <f>TRIM(A3580&amp;"")</f>
        <v/>
      </c>
      <c r="AA3580">
        <f>IF(Z3580="","",IF(MATCH(SUBSTITUTE(SUBSTITUTE(SUBSTITUTE(Z3580,"~","~~"),"*","~*"),"?","~?"),$Z$5:$Z$5004,0)=3576,MAX($AA$4:AA3579)+1,""))</f>
        <v/>
      </c>
    </row>
    <row r="3581" spans="1:27">
      <c r="A3581" s="9"/>
      <c r="Z3581">
        <f>TRIM(A3581&amp;"")</f>
        <v/>
      </c>
      <c r="AA3581">
        <f>IF(Z3581="","",IF(MATCH(SUBSTITUTE(SUBSTITUTE(SUBSTITUTE(Z3581,"~","~~"),"*","~*"),"?","~?"),$Z$5:$Z$5004,0)=3577,MAX($AA$4:AA3580)+1,""))</f>
        <v/>
      </c>
    </row>
    <row r="3582" spans="1:27">
      <c r="A3582" s="9"/>
      <c r="Z3582">
        <f>TRIM(A3582&amp;"")</f>
        <v/>
      </c>
      <c r="AA3582">
        <f>IF(Z3582="","",IF(MATCH(SUBSTITUTE(SUBSTITUTE(SUBSTITUTE(Z3582,"~","~~"),"*","~*"),"?","~?"),$Z$5:$Z$5004,0)=3578,MAX($AA$4:AA3581)+1,""))</f>
        <v/>
      </c>
    </row>
    <row r="3583" spans="1:27">
      <c r="A3583" s="9"/>
      <c r="Z3583">
        <f>TRIM(A3583&amp;"")</f>
        <v/>
      </c>
      <c r="AA3583">
        <f>IF(Z3583="","",IF(MATCH(SUBSTITUTE(SUBSTITUTE(SUBSTITUTE(Z3583,"~","~~"),"*","~*"),"?","~?"),$Z$5:$Z$5004,0)=3579,MAX($AA$4:AA3582)+1,""))</f>
        <v/>
      </c>
    </row>
    <row r="3584" spans="1:27">
      <c r="A3584" s="9"/>
      <c r="Z3584">
        <f>TRIM(A3584&amp;"")</f>
        <v/>
      </c>
      <c r="AA3584">
        <f>IF(Z3584="","",IF(MATCH(SUBSTITUTE(SUBSTITUTE(SUBSTITUTE(Z3584,"~","~~"),"*","~*"),"?","~?"),$Z$5:$Z$5004,0)=3580,MAX($AA$4:AA3583)+1,""))</f>
        <v/>
      </c>
    </row>
    <row r="3585" spans="1:27">
      <c r="A3585" s="9"/>
      <c r="Z3585">
        <f>TRIM(A3585&amp;"")</f>
        <v/>
      </c>
      <c r="AA3585">
        <f>IF(Z3585="","",IF(MATCH(SUBSTITUTE(SUBSTITUTE(SUBSTITUTE(Z3585,"~","~~"),"*","~*"),"?","~?"),$Z$5:$Z$5004,0)=3581,MAX($AA$4:AA3584)+1,""))</f>
        <v/>
      </c>
    </row>
    <row r="3586" spans="1:27">
      <c r="A3586" s="9"/>
      <c r="Z3586">
        <f>TRIM(A3586&amp;"")</f>
        <v/>
      </c>
      <c r="AA3586">
        <f>IF(Z3586="","",IF(MATCH(SUBSTITUTE(SUBSTITUTE(SUBSTITUTE(Z3586,"~","~~"),"*","~*"),"?","~?"),$Z$5:$Z$5004,0)=3582,MAX($AA$4:AA3585)+1,""))</f>
        <v/>
      </c>
    </row>
    <row r="3587" spans="1:27">
      <c r="A3587" s="9"/>
      <c r="Z3587">
        <f>TRIM(A3587&amp;"")</f>
        <v/>
      </c>
      <c r="AA3587">
        <f>IF(Z3587="","",IF(MATCH(SUBSTITUTE(SUBSTITUTE(SUBSTITUTE(Z3587,"~","~~"),"*","~*"),"?","~?"),$Z$5:$Z$5004,0)=3583,MAX($AA$4:AA3586)+1,""))</f>
        <v/>
      </c>
    </row>
    <row r="3588" spans="1:27">
      <c r="A3588" s="9"/>
      <c r="Z3588">
        <f>TRIM(A3588&amp;"")</f>
        <v/>
      </c>
      <c r="AA3588">
        <f>IF(Z3588="","",IF(MATCH(SUBSTITUTE(SUBSTITUTE(SUBSTITUTE(Z3588,"~","~~"),"*","~*"),"?","~?"),$Z$5:$Z$5004,0)=3584,MAX($AA$4:AA3587)+1,""))</f>
        <v/>
      </c>
    </row>
    <row r="3589" spans="1:27">
      <c r="A3589" s="9"/>
      <c r="Z3589">
        <f>TRIM(A3589&amp;"")</f>
        <v/>
      </c>
      <c r="AA3589">
        <f>IF(Z3589="","",IF(MATCH(SUBSTITUTE(SUBSTITUTE(SUBSTITUTE(Z3589,"~","~~"),"*","~*"),"?","~?"),$Z$5:$Z$5004,0)=3585,MAX($AA$4:AA3588)+1,""))</f>
        <v/>
      </c>
    </row>
    <row r="3590" spans="1:27">
      <c r="A3590" s="9"/>
      <c r="Z3590">
        <f>TRIM(A3590&amp;"")</f>
        <v/>
      </c>
      <c r="AA3590">
        <f>IF(Z3590="","",IF(MATCH(SUBSTITUTE(SUBSTITUTE(SUBSTITUTE(Z3590,"~","~~"),"*","~*"),"?","~?"),$Z$5:$Z$5004,0)=3586,MAX($AA$4:AA3589)+1,""))</f>
        <v/>
      </c>
    </row>
    <row r="3591" spans="1:27">
      <c r="A3591" s="9"/>
      <c r="Z3591">
        <f>TRIM(A3591&amp;"")</f>
        <v/>
      </c>
      <c r="AA3591">
        <f>IF(Z3591="","",IF(MATCH(SUBSTITUTE(SUBSTITUTE(SUBSTITUTE(Z3591,"~","~~"),"*","~*"),"?","~?"),$Z$5:$Z$5004,0)=3587,MAX($AA$4:AA3590)+1,""))</f>
        <v/>
      </c>
    </row>
    <row r="3592" spans="1:27">
      <c r="A3592" s="9"/>
      <c r="Z3592">
        <f>TRIM(A3592&amp;"")</f>
        <v/>
      </c>
      <c r="AA3592">
        <f>IF(Z3592="","",IF(MATCH(SUBSTITUTE(SUBSTITUTE(SUBSTITUTE(Z3592,"~","~~"),"*","~*"),"?","~?"),$Z$5:$Z$5004,0)=3588,MAX($AA$4:AA3591)+1,""))</f>
        <v/>
      </c>
    </row>
    <row r="3593" spans="1:27">
      <c r="A3593" s="9"/>
      <c r="Z3593">
        <f>TRIM(A3593&amp;"")</f>
        <v/>
      </c>
      <c r="AA3593">
        <f>IF(Z3593="","",IF(MATCH(SUBSTITUTE(SUBSTITUTE(SUBSTITUTE(Z3593,"~","~~"),"*","~*"),"?","~?"),$Z$5:$Z$5004,0)=3589,MAX($AA$4:AA3592)+1,""))</f>
        <v/>
      </c>
    </row>
    <row r="3594" spans="1:27">
      <c r="A3594" s="9"/>
      <c r="Z3594">
        <f>TRIM(A3594&amp;"")</f>
        <v/>
      </c>
      <c r="AA3594">
        <f>IF(Z3594="","",IF(MATCH(SUBSTITUTE(SUBSTITUTE(SUBSTITUTE(Z3594,"~","~~"),"*","~*"),"?","~?"),$Z$5:$Z$5004,0)=3590,MAX($AA$4:AA3593)+1,""))</f>
        <v/>
      </c>
    </row>
    <row r="3595" spans="1:27">
      <c r="A3595" s="9"/>
      <c r="Z3595">
        <f>TRIM(A3595&amp;"")</f>
        <v/>
      </c>
      <c r="AA3595">
        <f>IF(Z3595="","",IF(MATCH(SUBSTITUTE(SUBSTITUTE(SUBSTITUTE(Z3595,"~","~~"),"*","~*"),"?","~?"),$Z$5:$Z$5004,0)=3591,MAX($AA$4:AA3594)+1,""))</f>
        <v/>
      </c>
    </row>
    <row r="3596" spans="1:27">
      <c r="A3596" s="9"/>
      <c r="Z3596">
        <f>TRIM(A3596&amp;"")</f>
        <v/>
      </c>
      <c r="AA3596">
        <f>IF(Z3596="","",IF(MATCH(SUBSTITUTE(SUBSTITUTE(SUBSTITUTE(Z3596,"~","~~"),"*","~*"),"?","~?"),$Z$5:$Z$5004,0)=3592,MAX($AA$4:AA3595)+1,""))</f>
        <v/>
      </c>
    </row>
    <row r="3597" spans="1:27">
      <c r="A3597" s="9"/>
      <c r="Z3597">
        <f>TRIM(A3597&amp;"")</f>
        <v/>
      </c>
      <c r="AA3597">
        <f>IF(Z3597="","",IF(MATCH(SUBSTITUTE(SUBSTITUTE(SUBSTITUTE(Z3597,"~","~~"),"*","~*"),"?","~?"),$Z$5:$Z$5004,0)=3593,MAX($AA$4:AA3596)+1,""))</f>
        <v/>
      </c>
    </row>
    <row r="3598" spans="1:27">
      <c r="A3598" s="9"/>
      <c r="Z3598">
        <f>TRIM(A3598&amp;"")</f>
        <v/>
      </c>
      <c r="AA3598">
        <f>IF(Z3598="","",IF(MATCH(SUBSTITUTE(SUBSTITUTE(SUBSTITUTE(Z3598,"~","~~"),"*","~*"),"?","~?"),$Z$5:$Z$5004,0)=3594,MAX($AA$4:AA3597)+1,""))</f>
        <v/>
      </c>
    </row>
    <row r="3599" spans="1:27">
      <c r="A3599" s="9"/>
      <c r="Z3599">
        <f>TRIM(A3599&amp;"")</f>
        <v/>
      </c>
      <c r="AA3599">
        <f>IF(Z3599="","",IF(MATCH(SUBSTITUTE(SUBSTITUTE(SUBSTITUTE(Z3599,"~","~~"),"*","~*"),"?","~?"),$Z$5:$Z$5004,0)=3595,MAX($AA$4:AA3598)+1,""))</f>
        <v/>
      </c>
    </row>
    <row r="3600" spans="1:27">
      <c r="A3600" s="9"/>
      <c r="Z3600">
        <f>TRIM(A3600&amp;"")</f>
        <v/>
      </c>
      <c r="AA3600">
        <f>IF(Z3600="","",IF(MATCH(SUBSTITUTE(SUBSTITUTE(SUBSTITUTE(Z3600,"~","~~"),"*","~*"),"?","~?"),$Z$5:$Z$5004,0)=3596,MAX($AA$4:AA3599)+1,""))</f>
        <v/>
      </c>
    </row>
    <row r="3601" spans="1:27">
      <c r="A3601" s="9"/>
      <c r="Z3601">
        <f>TRIM(A3601&amp;"")</f>
        <v/>
      </c>
      <c r="AA3601">
        <f>IF(Z3601="","",IF(MATCH(SUBSTITUTE(SUBSTITUTE(SUBSTITUTE(Z3601,"~","~~"),"*","~*"),"?","~?"),$Z$5:$Z$5004,0)=3597,MAX($AA$4:AA3600)+1,""))</f>
        <v/>
      </c>
    </row>
    <row r="3602" spans="1:27">
      <c r="A3602" s="9"/>
      <c r="Z3602">
        <f>TRIM(A3602&amp;"")</f>
        <v/>
      </c>
      <c r="AA3602">
        <f>IF(Z3602="","",IF(MATCH(SUBSTITUTE(SUBSTITUTE(SUBSTITUTE(Z3602,"~","~~"),"*","~*"),"?","~?"),$Z$5:$Z$5004,0)=3598,MAX($AA$4:AA3601)+1,""))</f>
        <v/>
      </c>
    </row>
    <row r="3603" spans="1:27">
      <c r="A3603" s="9"/>
      <c r="Z3603">
        <f>TRIM(A3603&amp;"")</f>
        <v/>
      </c>
      <c r="AA3603">
        <f>IF(Z3603="","",IF(MATCH(SUBSTITUTE(SUBSTITUTE(SUBSTITUTE(Z3603,"~","~~"),"*","~*"),"?","~?"),$Z$5:$Z$5004,0)=3599,MAX($AA$4:AA3602)+1,""))</f>
        <v/>
      </c>
    </row>
    <row r="3604" spans="1:27">
      <c r="A3604" s="9"/>
      <c r="Z3604">
        <f>TRIM(A3604&amp;"")</f>
        <v/>
      </c>
      <c r="AA3604">
        <f>IF(Z3604="","",IF(MATCH(SUBSTITUTE(SUBSTITUTE(SUBSTITUTE(Z3604,"~","~~"),"*","~*"),"?","~?"),$Z$5:$Z$5004,0)=3600,MAX($AA$4:AA3603)+1,""))</f>
        <v/>
      </c>
    </row>
    <row r="3605" spans="1:27">
      <c r="A3605" s="9"/>
      <c r="Z3605">
        <f>TRIM(A3605&amp;"")</f>
        <v/>
      </c>
      <c r="AA3605">
        <f>IF(Z3605="","",IF(MATCH(SUBSTITUTE(SUBSTITUTE(SUBSTITUTE(Z3605,"~","~~"),"*","~*"),"?","~?"),$Z$5:$Z$5004,0)=3601,MAX($AA$4:AA3604)+1,""))</f>
        <v/>
      </c>
    </row>
    <row r="3606" spans="1:27">
      <c r="A3606" s="9"/>
      <c r="Z3606">
        <f>TRIM(A3606&amp;"")</f>
        <v/>
      </c>
      <c r="AA3606">
        <f>IF(Z3606="","",IF(MATCH(SUBSTITUTE(SUBSTITUTE(SUBSTITUTE(Z3606,"~","~~"),"*","~*"),"?","~?"),$Z$5:$Z$5004,0)=3602,MAX($AA$4:AA3605)+1,""))</f>
        <v/>
      </c>
    </row>
    <row r="3607" spans="1:27">
      <c r="A3607" s="9"/>
      <c r="Z3607">
        <f>TRIM(A3607&amp;"")</f>
        <v/>
      </c>
      <c r="AA3607">
        <f>IF(Z3607="","",IF(MATCH(SUBSTITUTE(SUBSTITUTE(SUBSTITUTE(Z3607,"~","~~"),"*","~*"),"?","~?"),$Z$5:$Z$5004,0)=3603,MAX($AA$4:AA3606)+1,""))</f>
        <v/>
      </c>
    </row>
    <row r="3608" spans="1:27">
      <c r="A3608" s="9"/>
      <c r="Z3608">
        <f>TRIM(A3608&amp;"")</f>
        <v/>
      </c>
      <c r="AA3608">
        <f>IF(Z3608="","",IF(MATCH(SUBSTITUTE(SUBSTITUTE(SUBSTITUTE(Z3608,"~","~~"),"*","~*"),"?","~?"),$Z$5:$Z$5004,0)=3604,MAX($AA$4:AA3607)+1,""))</f>
        <v/>
      </c>
    </row>
    <row r="3609" spans="1:27">
      <c r="A3609" s="9"/>
      <c r="Z3609">
        <f>TRIM(A3609&amp;"")</f>
        <v/>
      </c>
      <c r="AA3609">
        <f>IF(Z3609="","",IF(MATCH(SUBSTITUTE(SUBSTITUTE(SUBSTITUTE(Z3609,"~","~~"),"*","~*"),"?","~?"),$Z$5:$Z$5004,0)=3605,MAX($AA$4:AA3608)+1,""))</f>
        <v/>
      </c>
    </row>
    <row r="3610" spans="1:27">
      <c r="A3610" s="9"/>
      <c r="Z3610">
        <f>TRIM(A3610&amp;"")</f>
        <v/>
      </c>
      <c r="AA3610">
        <f>IF(Z3610="","",IF(MATCH(SUBSTITUTE(SUBSTITUTE(SUBSTITUTE(Z3610,"~","~~"),"*","~*"),"?","~?"),$Z$5:$Z$5004,0)=3606,MAX($AA$4:AA3609)+1,""))</f>
        <v/>
      </c>
    </row>
    <row r="3611" spans="1:27">
      <c r="A3611" s="9"/>
      <c r="Z3611">
        <f>TRIM(A3611&amp;"")</f>
        <v/>
      </c>
      <c r="AA3611">
        <f>IF(Z3611="","",IF(MATCH(SUBSTITUTE(SUBSTITUTE(SUBSTITUTE(Z3611,"~","~~"),"*","~*"),"?","~?"),$Z$5:$Z$5004,0)=3607,MAX($AA$4:AA3610)+1,""))</f>
        <v/>
      </c>
    </row>
    <row r="3612" spans="1:27">
      <c r="A3612" s="9"/>
      <c r="Z3612">
        <f>TRIM(A3612&amp;"")</f>
        <v/>
      </c>
      <c r="AA3612">
        <f>IF(Z3612="","",IF(MATCH(SUBSTITUTE(SUBSTITUTE(SUBSTITUTE(Z3612,"~","~~"),"*","~*"),"?","~?"),$Z$5:$Z$5004,0)=3608,MAX($AA$4:AA3611)+1,""))</f>
        <v/>
      </c>
    </row>
    <row r="3613" spans="1:27">
      <c r="A3613" s="9"/>
      <c r="Z3613">
        <f>TRIM(A3613&amp;"")</f>
        <v/>
      </c>
      <c r="AA3613">
        <f>IF(Z3613="","",IF(MATCH(SUBSTITUTE(SUBSTITUTE(SUBSTITUTE(Z3613,"~","~~"),"*","~*"),"?","~?"),$Z$5:$Z$5004,0)=3609,MAX($AA$4:AA3612)+1,""))</f>
        <v/>
      </c>
    </row>
    <row r="3614" spans="1:27">
      <c r="A3614" s="9"/>
      <c r="Z3614">
        <f>TRIM(A3614&amp;"")</f>
        <v/>
      </c>
      <c r="AA3614">
        <f>IF(Z3614="","",IF(MATCH(SUBSTITUTE(SUBSTITUTE(SUBSTITUTE(Z3614,"~","~~"),"*","~*"),"?","~?"),$Z$5:$Z$5004,0)=3610,MAX($AA$4:AA3613)+1,""))</f>
        <v/>
      </c>
    </row>
    <row r="3615" spans="1:27">
      <c r="A3615" s="9"/>
      <c r="Z3615">
        <f>TRIM(A3615&amp;"")</f>
        <v/>
      </c>
      <c r="AA3615">
        <f>IF(Z3615="","",IF(MATCH(SUBSTITUTE(SUBSTITUTE(SUBSTITUTE(Z3615,"~","~~"),"*","~*"),"?","~?"),$Z$5:$Z$5004,0)=3611,MAX($AA$4:AA3614)+1,""))</f>
        <v/>
      </c>
    </row>
    <row r="3616" spans="1:27">
      <c r="A3616" s="9"/>
      <c r="Z3616">
        <f>TRIM(A3616&amp;"")</f>
        <v/>
      </c>
      <c r="AA3616">
        <f>IF(Z3616="","",IF(MATCH(SUBSTITUTE(SUBSTITUTE(SUBSTITUTE(Z3616,"~","~~"),"*","~*"),"?","~?"),$Z$5:$Z$5004,0)=3612,MAX($AA$4:AA3615)+1,""))</f>
        <v/>
      </c>
    </row>
    <row r="3617" spans="1:27">
      <c r="A3617" s="9"/>
      <c r="Z3617">
        <f>TRIM(A3617&amp;"")</f>
        <v/>
      </c>
      <c r="AA3617">
        <f>IF(Z3617="","",IF(MATCH(SUBSTITUTE(SUBSTITUTE(SUBSTITUTE(Z3617,"~","~~"),"*","~*"),"?","~?"),$Z$5:$Z$5004,0)=3613,MAX($AA$4:AA3616)+1,""))</f>
        <v/>
      </c>
    </row>
    <row r="3618" spans="1:27">
      <c r="A3618" s="9"/>
      <c r="Z3618">
        <f>TRIM(A3618&amp;"")</f>
        <v/>
      </c>
      <c r="AA3618">
        <f>IF(Z3618="","",IF(MATCH(SUBSTITUTE(SUBSTITUTE(SUBSTITUTE(Z3618,"~","~~"),"*","~*"),"?","~?"),$Z$5:$Z$5004,0)=3614,MAX($AA$4:AA3617)+1,""))</f>
        <v/>
      </c>
    </row>
    <row r="3619" spans="1:27">
      <c r="A3619" s="9"/>
      <c r="Z3619">
        <f>TRIM(A3619&amp;"")</f>
        <v/>
      </c>
      <c r="AA3619">
        <f>IF(Z3619="","",IF(MATCH(SUBSTITUTE(SUBSTITUTE(SUBSTITUTE(Z3619,"~","~~"),"*","~*"),"?","~?"),$Z$5:$Z$5004,0)=3615,MAX($AA$4:AA3618)+1,""))</f>
        <v/>
      </c>
    </row>
    <row r="3620" spans="1:27">
      <c r="A3620" s="9"/>
      <c r="Z3620">
        <f>TRIM(A3620&amp;"")</f>
        <v/>
      </c>
      <c r="AA3620">
        <f>IF(Z3620="","",IF(MATCH(SUBSTITUTE(SUBSTITUTE(SUBSTITUTE(Z3620,"~","~~"),"*","~*"),"?","~?"),$Z$5:$Z$5004,0)=3616,MAX($AA$4:AA3619)+1,""))</f>
        <v/>
      </c>
    </row>
    <row r="3621" spans="1:27">
      <c r="A3621" s="9"/>
      <c r="Z3621">
        <f>TRIM(A3621&amp;"")</f>
        <v/>
      </c>
      <c r="AA3621">
        <f>IF(Z3621="","",IF(MATCH(SUBSTITUTE(SUBSTITUTE(SUBSTITUTE(Z3621,"~","~~"),"*","~*"),"?","~?"),$Z$5:$Z$5004,0)=3617,MAX($AA$4:AA3620)+1,""))</f>
        <v/>
      </c>
    </row>
    <row r="3622" spans="1:27">
      <c r="A3622" s="9"/>
      <c r="Z3622">
        <f>TRIM(A3622&amp;"")</f>
        <v/>
      </c>
      <c r="AA3622">
        <f>IF(Z3622="","",IF(MATCH(SUBSTITUTE(SUBSTITUTE(SUBSTITUTE(Z3622,"~","~~"),"*","~*"),"?","~?"),$Z$5:$Z$5004,0)=3618,MAX($AA$4:AA3621)+1,""))</f>
        <v/>
      </c>
    </row>
    <row r="3623" spans="1:27">
      <c r="A3623" s="9"/>
      <c r="Z3623">
        <f>TRIM(A3623&amp;"")</f>
        <v/>
      </c>
      <c r="AA3623">
        <f>IF(Z3623="","",IF(MATCH(SUBSTITUTE(SUBSTITUTE(SUBSTITUTE(Z3623,"~","~~"),"*","~*"),"?","~?"),$Z$5:$Z$5004,0)=3619,MAX($AA$4:AA3622)+1,""))</f>
        <v/>
      </c>
    </row>
    <row r="3624" spans="1:27">
      <c r="A3624" s="9"/>
      <c r="Z3624">
        <f>TRIM(A3624&amp;"")</f>
        <v/>
      </c>
      <c r="AA3624">
        <f>IF(Z3624="","",IF(MATCH(SUBSTITUTE(SUBSTITUTE(SUBSTITUTE(Z3624,"~","~~"),"*","~*"),"?","~?"),$Z$5:$Z$5004,0)=3620,MAX($AA$4:AA3623)+1,""))</f>
        <v/>
      </c>
    </row>
    <row r="3625" spans="1:27">
      <c r="A3625" s="9"/>
      <c r="Z3625">
        <f>TRIM(A3625&amp;"")</f>
        <v/>
      </c>
      <c r="AA3625">
        <f>IF(Z3625="","",IF(MATCH(SUBSTITUTE(SUBSTITUTE(SUBSTITUTE(Z3625,"~","~~"),"*","~*"),"?","~?"),$Z$5:$Z$5004,0)=3621,MAX($AA$4:AA3624)+1,""))</f>
        <v/>
      </c>
    </row>
    <row r="3626" spans="1:27">
      <c r="A3626" s="9"/>
      <c r="Z3626">
        <f>TRIM(A3626&amp;"")</f>
        <v/>
      </c>
      <c r="AA3626">
        <f>IF(Z3626="","",IF(MATCH(SUBSTITUTE(SUBSTITUTE(SUBSTITUTE(Z3626,"~","~~"),"*","~*"),"?","~?"),$Z$5:$Z$5004,0)=3622,MAX($AA$4:AA3625)+1,""))</f>
        <v/>
      </c>
    </row>
    <row r="3627" spans="1:27">
      <c r="A3627" s="9"/>
      <c r="Z3627">
        <f>TRIM(A3627&amp;"")</f>
        <v/>
      </c>
      <c r="AA3627">
        <f>IF(Z3627="","",IF(MATCH(SUBSTITUTE(SUBSTITUTE(SUBSTITUTE(Z3627,"~","~~"),"*","~*"),"?","~?"),$Z$5:$Z$5004,0)=3623,MAX($AA$4:AA3626)+1,""))</f>
        <v/>
      </c>
    </row>
    <row r="3628" spans="1:27">
      <c r="A3628" s="9"/>
      <c r="Z3628">
        <f>TRIM(A3628&amp;"")</f>
        <v/>
      </c>
      <c r="AA3628">
        <f>IF(Z3628="","",IF(MATCH(SUBSTITUTE(SUBSTITUTE(SUBSTITUTE(Z3628,"~","~~"),"*","~*"),"?","~?"),$Z$5:$Z$5004,0)=3624,MAX($AA$4:AA3627)+1,""))</f>
        <v/>
      </c>
    </row>
    <row r="3629" spans="1:27">
      <c r="A3629" s="9"/>
      <c r="Z3629">
        <f>TRIM(A3629&amp;"")</f>
        <v/>
      </c>
      <c r="AA3629">
        <f>IF(Z3629="","",IF(MATCH(SUBSTITUTE(SUBSTITUTE(SUBSTITUTE(Z3629,"~","~~"),"*","~*"),"?","~?"),$Z$5:$Z$5004,0)=3625,MAX($AA$4:AA3628)+1,""))</f>
        <v/>
      </c>
    </row>
    <row r="3630" spans="1:27">
      <c r="A3630" s="9"/>
      <c r="Z3630">
        <f>TRIM(A3630&amp;"")</f>
        <v/>
      </c>
      <c r="AA3630">
        <f>IF(Z3630="","",IF(MATCH(SUBSTITUTE(SUBSTITUTE(SUBSTITUTE(Z3630,"~","~~"),"*","~*"),"?","~?"),$Z$5:$Z$5004,0)=3626,MAX($AA$4:AA3629)+1,""))</f>
        <v/>
      </c>
    </row>
    <row r="3631" spans="1:27">
      <c r="A3631" s="9"/>
      <c r="Z3631">
        <f>TRIM(A3631&amp;"")</f>
        <v/>
      </c>
      <c r="AA3631">
        <f>IF(Z3631="","",IF(MATCH(SUBSTITUTE(SUBSTITUTE(SUBSTITUTE(Z3631,"~","~~"),"*","~*"),"?","~?"),$Z$5:$Z$5004,0)=3627,MAX($AA$4:AA3630)+1,""))</f>
        <v/>
      </c>
    </row>
    <row r="3632" spans="1:27">
      <c r="A3632" s="9"/>
      <c r="Z3632">
        <f>TRIM(A3632&amp;"")</f>
        <v/>
      </c>
      <c r="AA3632">
        <f>IF(Z3632="","",IF(MATCH(SUBSTITUTE(SUBSTITUTE(SUBSTITUTE(Z3632,"~","~~"),"*","~*"),"?","~?"),$Z$5:$Z$5004,0)=3628,MAX($AA$4:AA3631)+1,""))</f>
        <v/>
      </c>
    </row>
    <row r="3633" spans="1:27">
      <c r="A3633" s="9"/>
      <c r="Z3633">
        <f>TRIM(A3633&amp;"")</f>
        <v/>
      </c>
      <c r="AA3633">
        <f>IF(Z3633="","",IF(MATCH(SUBSTITUTE(SUBSTITUTE(SUBSTITUTE(Z3633,"~","~~"),"*","~*"),"?","~?"),$Z$5:$Z$5004,0)=3629,MAX($AA$4:AA3632)+1,""))</f>
        <v/>
      </c>
    </row>
    <row r="3634" spans="1:27">
      <c r="A3634" s="9"/>
      <c r="Z3634">
        <f>TRIM(A3634&amp;"")</f>
        <v/>
      </c>
      <c r="AA3634">
        <f>IF(Z3634="","",IF(MATCH(SUBSTITUTE(SUBSTITUTE(SUBSTITUTE(Z3634,"~","~~"),"*","~*"),"?","~?"),$Z$5:$Z$5004,0)=3630,MAX($AA$4:AA3633)+1,""))</f>
        <v/>
      </c>
    </row>
    <row r="3635" spans="1:27">
      <c r="A3635" s="9"/>
      <c r="Z3635">
        <f>TRIM(A3635&amp;"")</f>
        <v/>
      </c>
      <c r="AA3635">
        <f>IF(Z3635="","",IF(MATCH(SUBSTITUTE(SUBSTITUTE(SUBSTITUTE(Z3635,"~","~~"),"*","~*"),"?","~?"),$Z$5:$Z$5004,0)=3631,MAX($AA$4:AA3634)+1,""))</f>
        <v/>
      </c>
    </row>
    <row r="3636" spans="1:27">
      <c r="A3636" s="9"/>
      <c r="Z3636">
        <f>TRIM(A3636&amp;"")</f>
        <v/>
      </c>
      <c r="AA3636">
        <f>IF(Z3636="","",IF(MATCH(SUBSTITUTE(SUBSTITUTE(SUBSTITUTE(Z3636,"~","~~"),"*","~*"),"?","~?"),$Z$5:$Z$5004,0)=3632,MAX($AA$4:AA3635)+1,""))</f>
        <v/>
      </c>
    </row>
    <row r="3637" spans="1:27">
      <c r="A3637" s="9"/>
      <c r="Z3637">
        <f>TRIM(A3637&amp;"")</f>
        <v/>
      </c>
      <c r="AA3637">
        <f>IF(Z3637="","",IF(MATCH(SUBSTITUTE(SUBSTITUTE(SUBSTITUTE(Z3637,"~","~~"),"*","~*"),"?","~?"),$Z$5:$Z$5004,0)=3633,MAX($AA$4:AA3636)+1,""))</f>
        <v/>
      </c>
    </row>
    <row r="3638" spans="1:27">
      <c r="A3638" s="9"/>
      <c r="Z3638">
        <f>TRIM(A3638&amp;"")</f>
        <v/>
      </c>
      <c r="AA3638">
        <f>IF(Z3638="","",IF(MATCH(SUBSTITUTE(SUBSTITUTE(SUBSTITUTE(Z3638,"~","~~"),"*","~*"),"?","~?"),$Z$5:$Z$5004,0)=3634,MAX($AA$4:AA3637)+1,""))</f>
        <v/>
      </c>
    </row>
    <row r="3639" spans="1:27">
      <c r="A3639" s="9"/>
      <c r="Z3639">
        <f>TRIM(A3639&amp;"")</f>
        <v/>
      </c>
      <c r="AA3639">
        <f>IF(Z3639="","",IF(MATCH(SUBSTITUTE(SUBSTITUTE(SUBSTITUTE(Z3639,"~","~~"),"*","~*"),"?","~?"),$Z$5:$Z$5004,0)=3635,MAX($AA$4:AA3638)+1,""))</f>
        <v/>
      </c>
    </row>
    <row r="3640" spans="1:27">
      <c r="A3640" s="9"/>
      <c r="Z3640">
        <f>TRIM(A3640&amp;"")</f>
        <v/>
      </c>
      <c r="AA3640">
        <f>IF(Z3640="","",IF(MATCH(SUBSTITUTE(SUBSTITUTE(SUBSTITUTE(Z3640,"~","~~"),"*","~*"),"?","~?"),$Z$5:$Z$5004,0)=3636,MAX($AA$4:AA3639)+1,""))</f>
        <v/>
      </c>
    </row>
    <row r="3641" spans="1:27">
      <c r="A3641" s="9"/>
      <c r="Z3641">
        <f>TRIM(A3641&amp;"")</f>
        <v/>
      </c>
      <c r="AA3641">
        <f>IF(Z3641="","",IF(MATCH(SUBSTITUTE(SUBSTITUTE(SUBSTITUTE(Z3641,"~","~~"),"*","~*"),"?","~?"),$Z$5:$Z$5004,0)=3637,MAX($AA$4:AA3640)+1,""))</f>
        <v/>
      </c>
    </row>
    <row r="3642" spans="1:27">
      <c r="A3642" s="9"/>
      <c r="Z3642">
        <f>TRIM(A3642&amp;"")</f>
        <v/>
      </c>
      <c r="AA3642">
        <f>IF(Z3642="","",IF(MATCH(SUBSTITUTE(SUBSTITUTE(SUBSTITUTE(Z3642,"~","~~"),"*","~*"),"?","~?"),$Z$5:$Z$5004,0)=3638,MAX($AA$4:AA3641)+1,""))</f>
        <v/>
      </c>
    </row>
    <row r="3643" spans="1:27">
      <c r="A3643" s="9"/>
      <c r="Z3643">
        <f>TRIM(A3643&amp;"")</f>
        <v/>
      </c>
      <c r="AA3643">
        <f>IF(Z3643="","",IF(MATCH(SUBSTITUTE(SUBSTITUTE(SUBSTITUTE(Z3643,"~","~~"),"*","~*"),"?","~?"),$Z$5:$Z$5004,0)=3639,MAX($AA$4:AA3642)+1,""))</f>
        <v/>
      </c>
    </row>
    <row r="3644" spans="1:27">
      <c r="A3644" s="9"/>
      <c r="Z3644">
        <f>TRIM(A3644&amp;"")</f>
        <v/>
      </c>
      <c r="AA3644">
        <f>IF(Z3644="","",IF(MATCH(SUBSTITUTE(SUBSTITUTE(SUBSTITUTE(Z3644,"~","~~"),"*","~*"),"?","~?"),$Z$5:$Z$5004,0)=3640,MAX($AA$4:AA3643)+1,""))</f>
        <v/>
      </c>
    </row>
    <row r="3645" spans="1:27">
      <c r="A3645" s="9"/>
      <c r="Z3645">
        <f>TRIM(A3645&amp;"")</f>
        <v/>
      </c>
      <c r="AA3645">
        <f>IF(Z3645="","",IF(MATCH(SUBSTITUTE(SUBSTITUTE(SUBSTITUTE(Z3645,"~","~~"),"*","~*"),"?","~?"),$Z$5:$Z$5004,0)=3641,MAX($AA$4:AA3644)+1,""))</f>
        <v/>
      </c>
    </row>
    <row r="3646" spans="1:27">
      <c r="A3646" s="9"/>
      <c r="Z3646">
        <f>TRIM(A3646&amp;"")</f>
        <v/>
      </c>
      <c r="AA3646">
        <f>IF(Z3646="","",IF(MATCH(SUBSTITUTE(SUBSTITUTE(SUBSTITUTE(Z3646,"~","~~"),"*","~*"),"?","~?"),$Z$5:$Z$5004,0)=3642,MAX($AA$4:AA3645)+1,""))</f>
        <v/>
      </c>
    </row>
    <row r="3647" spans="1:27">
      <c r="A3647" s="9"/>
      <c r="Z3647">
        <f>TRIM(A3647&amp;"")</f>
        <v/>
      </c>
      <c r="AA3647">
        <f>IF(Z3647="","",IF(MATCH(SUBSTITUTE(SUBSTITUTE(SUBSTITUTE(Z3647,"~","~~"),"*","~*"),"?","~?"),$Z$5:$Z$5004,0)=3643,MAX($AA$4:AA3646)+1,""))</f>
        <v/>
      </c>
    </row>
    <row r="3648" spans="1:27">
      <c r="A3648" s="9"/>
      <c r="Z3648">
        <f>TRIM(A3648&amp;"")</f>
        <v/>
      </c>
      <c r="AA3648">
        <f>IF(Z3648="","",IF(MATCH(SUBSTITUTE(SUBSTITUTE(SUBSTITUTE(Z3648,"~","~~"),"*","~*"),"?","~?"),$Z$5:$Z$5004,0)=3644,MAX($AA$4:AA3647)+1,""))</f>
        <v/>
      </c>
    </row>
    <row r="3649" spans="1:27">
      <c r="A3649" s="9"/>
      <c r="Z3649">
        <f>TRIM(A3649&amp;"")</f>
        <v/>
      </c>
      <c r="AA3649">
        <f>IF(Z3649="","",IF(MATCH(SUBSTITUTE(SUBSTITUTE(SUBSTITUTE(Z3649,"~","~~"),"*","~*"),"?","~?"),$Z$5:$Z$5004,0)=3645,MAX($AA$4:AA3648)+1,""))</f>
        <v/>
      </c>
    </row>
    <row r="3650" spans="1:27">
      <c r="A3650" s="9"/>
      <c r="Z3650">
        <f>TRIM(A3650&amp;"")</f>
        <v/>
      </c>
      <c r="AA3650">
        <f>IF(Z3650="","",IF(MATCH(SUBSTITUTE(SUBSTITUTE(SUBSTITUTE(Z3650,"~","~~"),"*","~*"),"?","~?"),$Z$5:$Z$5004,0)=3646,MAX($AA$4:AA3649)+1,""))</f>
        <v/>
      </c>
    </row>
    <row r="3651" spans="1:27">
      <c r="A3651" s="9"/>
      <c r="Z3651">
        <f>TRIM(A3651&amp;"")</f>
        <v/>
      </c>
      <c r="AA3651">
        <f>IF(Z3651="","",IF(MATCH(SUBSTITUTE(SUBSTITUTE(SUBSTITUTE(Z3651,"~","~~"),"*","~*"),"?","~?"),$Z$5:$Z$5004,0)=3647,MAX($AA$4:AA3650)+1,""))</f>
        <v/>
      </c>
    </row>
    <row r="3652" spans="1:27">
      <c r="A3652" s="9"/>
      <c r="Z3652">
        <f>TRIM(A3652&amp;"")</f>
        <v/>
      </c>
      <c r="AA3652">
        <f>IF(Z3652="","",IF(MATCH(SUBSTITUTE(SUBSTITUTE(SUBSTITUTE(Z3652,"~","~~"),"*","~*"),"?","~?"),$Z$5:$Z$5004,0)=3648,MAX($AA$4:AA3651)+1,""))</f>
        <v/>
      </c>
    </row>
    <row r="3653" spans="1:27">
      <c r="A3653" s="9"/>
      <c r="Z3653">
        <f>TRIM(A3653&amp;"")</f>
        <v/>
      </c>
      <c r="AA3653">
        <f>IF(Z3653="","",IF(MATCH(SUBSTITUTE(SUBSTITUTE(SUBSTITUTE(Z3653,"~","~~"),"*","~*"),"?","~?"),$Z$5:$Z$5004,0)=3649,MAX($AA$4:AA3652)+1,""))</f>
        <v/>
      </c>
    </row>
    <row r="3654" spans="1:27">
      <c r="A3654" s="9"/>
      <c r="Z3654">
        <f>TRIM(A3654&amp;"")</f>
        <v/>
      </c>
      <c r="AA3654">
        <f>IF(Z3654="","",IF(MATCH(SUBSTITUTE(SUBSTITUTE(SUBSTITUTE(Z3654,"~","~~"),"*","~*"),"?","~?"),$Z$5:$Z$5004,0)=3650,MAX($AA$4:AA3653)+1,""))</f>
        <v/>
      </c>
    </row>
    <row r="3655" spans="1:27">
      <c r="A3655" s="9"/>
      <c r="Z3655">
        <f>TRIM(A3655&amp;"")</f>
        <v/>
      </c>
      <c r="AA3655">
        <f>IF(Z3655="","",IF(MATCH(SUBSTITUTE(SUBSTITUTE(SUBSTITUTE(Z3655,"~","~~"),"*","~*"),"?","~?"),$Z$5:$Z$5004,0)=3651,MAX($AA$4:AA3654)+1,""))</f>
        <v/>
      </c>
    </row>
    <row r="3656" spans="1:27">
      <c r="A3656" s="9"/>
      <c r="Z3656">
        <f>TRIM(A3656&amp;"")</f>
        <v/>
      </c>
      <c r="AA3656">
        <f>IF(Z3656="","",IF(MATCH(SUBSTITUTE(SUBSTITUTE(SUBSTITUTE(Z3656,"~","~~"),"*","~*"),"?","~?"),$Z$5:$Z$5004,0)=3652,MAX($AA$4:AA3655)+1,""))</f>
        <v/>
      </c>
    </row>
    <row r="3657" spans="1:27">
      <c r="A3657" s="9"/>
      <c r="Z3657">
        <f>TRIM(A3657&amp;"")</f>
        <v/>
      </c>
      <c r="AA3657">
        <f>IF(Z3657="","",IF(MATCH(SUBSTITUTE(SUBSTITUTE(SUBSTITUTE(Z3657,"~","~~"),"*","~*"),"?","~?"),$Z$5:$Z$5004,0)=3653,MAX($AA$4:AA3656)+1,""))</f>
        <v/>
      </c>
    </row>
    <row r="3658" spans="1:27">
      <c r="A3658" s="9"/>
      <c r="Z3658">
        <f>TRIM(A3658&amp;"")</f>
        <v/>
      </c>
      <c r="AA3658">
        <f>IF(Z3658="","",IF(MATCH(SUBSTITUTE(SUBSTITUTE(SUBSTITUTE(Z3658,"~","~~"),"*","~*"),"?","~?"),$Z$5:$Z$5004,0)=3654,MAX($AA$4:AA3657)+1,""))</f>
        <v/>
      </c>
    </row>
    <row r="3659" spans="1:27">
      <c r="A3659" s="9"/>
      <c r="Z3659">
        <f>TRIM(A3659&amp;"")</f>
        <v/>
      </c>
      <c r="AA3659">
        <f>IF(Z3659="","",IF(MATCH(SUBSTITUTE(SUBSTITUTE(SUBSTITUTE(Z3659,"~","~~"),"*","~*"),"?","~?"),$Z$5:$Z$5004,0)=3655,MAX($AA$4:AA3658)+1,""))</f>
        <v/>
      </c>
    </row>
    <row r="3660" spans="1:27">
      <c r="A3660" s="9"/>
      <c r="Z3660">
        <f>TRIM(A3660&amp;"")</f>
        <v/>
      </c>
      <c r="AA3660">
        <f>IF(Z3660="","",IF(MATCH(SUBSTITUTE(SUBSTITUTE(SUBSTITUTE(Z3660,"~","~~"),"*","~*"),"?","~?"),$Z$5:$Z$5004,0)=3656,MAX($AA$4:AA3659)+1,""))</f>
        <v/>
      </c>
    </row>
    <row r="3661" spans="1:27">
      <c r="A3661" s="9"/>
      <c r="Z3661">
        <f>TRIM(A3661&amp;"")</f>
        <v/>
      </c>
      <c r="AA3661">
        <f>IF(Z3661="","",IF(MATCH(SUBSTITUTE(SUBSTITUTE(SUBSTITUTE(Z3661,"~","~~"),"*","~*"),"?","~?"),$Z$5:$Z$5004,0)=3657,MAX($AA$4:AA3660)+1,""))</f>
        <v/>
      </c>
    </row>
    <row r="3662" spans="1:27">
      <c r="A3662" s="9"/>
      <c r="Z3662">
        <f>TRIM(A3662&amp;"")</f>
        <v/>
      </c>
      <c r="AA3662">
        <f>IF(Z3662="","",IF(MATCH(SUBSTITUTE(SUBSTITUTE(SUBSTITUTE(Z3662,"~","~~"),"*","~*"),"?","~?"),$Z$5:$Z$5004,0)=3658,MAX($AA$4:AA3661)+1,""))</f>
        <v/>
      </c>
    </row>
    <row r="3663" spans="1:27">
      <c r="A3663" s="9"/>
      <c r="Z3663">
        <f>TRIM(A3663&amp;"")</f>
        <v/>
      </c>
      <c r="AA3663">
        <f>IF(Z3663="","",IF(MATCH(SUBSTITUTE(SUBSTITUTE(SUBSTITUTE(Z3663,"~","~~"),"*","~*"),"?","~?"),$Z$5:$Z$5004,0)=3659,MAX($AA$4:AA3662)+1,""))</f>
        <v/>
      </c>
    </row>
    <row r="3664" spans="1:27">
      <c r="A3664" s="9"/>
      <c r="Z3664">
        <f>TRIM(A3664&amp;"")</f>
        <v/>
      </c>
      <c r="AA3664">
        <f>IF(Z3664="","",IF(MATCH(SUBSTITUTE(SUBSTITUTE(SUBSTITUTE(Z3664,"~","~~"),"*","~*"),"?","~?"),$Z$5:$Z$5004,0)=3660,MAX($AA$4:AA3663)+1,""))</f>
        <v/>
      </c>
    </row>
    <row r="3665" spans="1:27">
      <c r="A3665" s="9"/>
      <c r="Z3665">
        <f>TRIM(A3665&amp;"")</f>
        <v/>
      </c>
      <c r="AA3665">
        <f>IF(Z3665="","",IF(MATCH(SUBSTITUTE(SUBSTITUTE(SUBSTITUTE(Z3665,"~","~~"),"*","~*"),"?","~?"),$Z$5:$Z$5004,0)=3661,MAX($AA$4:AA3664)+1,""))</f>
        <v/>
      </c>
    </row>
    <row r="3666" spans="1:27">
      <c r="A3666" s="9"/>
      <c r="Z3666">
        <f>TRIM(A3666&amp;"")</f>
        <v/>
      </c>
      <c r="AA3666">
        <f>IF(Z3666="","",IF(MATCH(SUBSTITUTE(SUBSTITUTE(SUBSTITUTE(Z3666,"~","~~"),"*","~*"),"?","~?"),$Z$5:$Z$5004,0)=3662,MAX($AA$4:AA3665)+1,""))</f>
        <v/>
      </c>
    </row>
    <row r="3667" spans="1:27">
      <c r="A3667" s="9"/>
      <c r="Z3667">
        <f>TRIM(A3667&amp;"")</f>
        <v/>
      </c>
      <c r="AA3667">
        <f>IF(Z3667="","",IF(MATCH(SUBSTITUTE(SUBSTITUTE(SUBSTITUTE(Z3667,"~","~~"),"*","~*"),"?","~?"),$Z$5:$Z$5004,0)=3663,MAX($AA$4:AA3666)+1,""))</f>
        <v/>
      </c>
    </row>
    <row r="3668" spans="1:27">
      <c r="A3668" s="9"/>
      <c r="Z3668">
        <f>TRIM(A3668&amp;"")</f>
        <v/>
      </c>
      <c r="AA3668">
        <f>IF(Z3668="","",IF(MATCH(SUBSTITUTE(SUBSTITUTE(SUBSTITUTE(Z3668,"~","~~"),"*","~*"),"?","~?"),$Z$5:$Z$5004,0)=3664,MAX($AA$4:AA3667)+1,""))</f>
        <v/>
      </c>
    </row>
    <row r="3669" spans="1:27">
      <c r="A3669" s="9"/>
      <c r="Z3669">
        <f>TRIM(A3669&amp;"")</f>
        <v/>
      </c>
      <c r="AA3669">
        <f>IF(Z3669="","",IF(MATCH(SUBSTITUTE(SUBSTITUTE(SUBSTITUTE(Z3669,"~","~~"),"*","~*"),"?","~?"),$Z$5:$Z$5004,0)=3665,MAX($AA$4:AA3668)+1,""))</f>
        <v/>
      </c>
    </row>
    <row r="3670" spans="1:27">
      <c r="A3670" s="9"/>
      <c r="Z3670">
        <f>TRIM(A3670&amp;"")</f>
        <v/>
      </c>
      <c r="AA3670">
        <f>IF(Z3670="","",IF(MATCH(SUBSTITUTE(SUBSTITUTE(SUBSTITUTE(Z3670,"~","~~"),"*","~*"),"?","~?"),$Z$5:$Z$5004,0)=3666,MAX($AA$4:AA3669)+1,""))</f>
        <v/>
      </c>
    </row>
    <row r="3671" spans="1:27">
      <c r="A3671" s="9"/>
      <c r="Z3671">
        <f>TRIM(A3671&amp;"")</f>
        <v/>
      </c>
      <c r="AA3671">
        <f>IF(Z3671="","",IF(MATCH(SUBSTITUTE(SUBSTITUTE(SUBSTITUTE(Z3671,"~","~~"),"*","~*"),"?","~?"),$Z$5:$Z$5004,0)=3667,MAX($AA$4:AA3670)+1,""))</f>
        <v/>
      </c>
    </row>
    <row r="3672" spans="1:27">
      <c r="A3672" s="9"/>
      <c r="Z3672">
        <f>TRIM(A3672&amp;"")</f>
        <v/>
      </c>
      <c r="AA3672">
        <f>IF(Z3672="","",IF(MATCH(SUBSTITUTE(SUBSTITUTE(SUBSTITUTE(Z3672,"~","~~"),"*","~*"),"?","~?"),$Z$5:$Z$5004,0)=3668,MAX($AA$4:AA3671)+1,""))</f>
        <v/>
      </c>
    </row>
    <row r="3673" spans="1:27">
      <c r="A3673" s="9"/>
      <c r="Z3673">
        <f>TRIM(A3673&amp;"")</f>
        <v/>
      </c>
      <c r="AA3673">
        <f>IF(Z3673="","",IF(MATCH(SUBSTITUTE(SUBSTITUTE(SUBSTITUTE(Z3673,"~","~~"),"*","~*"),"?","~?"),$Z$5:$Z$5004,0)=3669,MAX($AA$4:AA3672)+1,""))</f>
        <v/>
      </c>
    </row>
    <row r="3674" spans="1:27">
      <c r="A3674" s="9"/>
      <c r="Z3674">
        <f>TRIM(A3674&amp;"")</f>
        <v/>
      </c>
      <c r="AA3674">
        <f>IF(Z3674="","",IF(MATCH(SUBSTITUTE(SUBSTITUTE(SUBSTITUTE(Z3674,"~","~~"),"*","~*"),"?","~?"),$Z$5:$Z$5004,0)=3670,MAX($AA$4:AA3673)+1,""))</f>
        <v/>
      </c>
    </row>
    <row r="3675" spans="1:27">
      <c r="A3675" s="9"/>
      <c r="Z3675">
        <f>TRIM(A3675&amp;"")</f>
        <v/>
      </c>
      <c r="AA3675">
        <f>IF(Z3675="","",IF(MATCH(SUBSTITUTE(SUBSTITUTE(SUBSTITUTE(Z3675,"~","~~"),"*","~*"),"?","~?"),$Z$5:$Z$5004,0)=3671,MAX($AA$4:AA3674)+1,""))</f>
        <v/>
      </c>
    </row>
    <row r="3676" spans="1:27">
      <c r="A3676" s="9"/>
      <c r="Z3676">
        <f>TRIM(A3676&amp;"")</f>
        <v/>
      </c>
      <c r="AA3676">
        <f>IF(Z3676="","",IF(MATCH(SUBSTITUTE(SUBSTITUTE(SUBSTITUTE(Z3676,"~","~~"),"*","~*"),"?","~?"),$Z$5:$Z$5004,0)=3672,MAX($AA$4:AA3675)+1,""))</f>
        <v/>
      </c>
    </row>
    <row r="3677" spans="1:27">
      <c r="A3677" s="9"/>
      <c r="Z3677">
        <f>TRIM(A3677&amp;"")</f>
        <v/>
      </c>
      <c r="AA3677">
        <f>IF(Z3677="","",IF(MATCH(SUBSTITUTE(SUBSTITUTE(SUBSTITUTE(Z3677,"~","~~"),"*","~*"),"?","~?"),$Z$5:$Z$5004,0)=3673,MAX($AA$4:AA3676)+1,""))</f>
        <v/>
      </c>
    </row>
    <row r="3678" spans="1:27">
      <c r="A3678" s="9"/>
      <c r="Z3678">
        <f>TRIM(A3678&amp;"")</f>
        <v/>
      </c>
      <c r="AA3678">
        <f>IF(Z3678="","",IF(MATCH(SUBSTITUTE(SUBSTITUTE(SUBSTITUTE(Z3678,"~","~~"),"*","~*"),"?","~?"),$Z$5:$Z$5004,0)=3674,MAX($AA$4:AA3677)+1,""))</f>
        <v/>
      </c>
    </row>
    <row r="3679" spans="1:27">
      <c r="A3679" s="9"/>
      <c r="Z3679">
        <f>TRIM(A3679&amp;"")</f>
        <v/>
      </c>
      <c r="AA3679">
        <f>IF(Z3679="","",IF(MATCH(SUBSTITUTE(SUBSTITUTE(SUBSTITUTE(Z3679,"~","~~"),"*","~*"),"?","~?"),$Z$5:$Z$5004,0)=3675,MAX($AA$4:AA3678)+1,""))</f>
        <v/>
      </c>
    </row>
    <row r="3680" spans="1:27">
      <c r="A3680" s="9"/>
      <c r="Z3680">
        <f>TRIM(A3680&amp;"")</f>
        <v/>
      </c>
      <c r="AA3680">
        <f>IF(Z3680="","",IF(MATCH(SUBSTITUTE(SUBSTITUTE(SUBSTITUTE(Z3680,"~","~~"),"*","~*"),"?","~?"),$Z$5:$Z$5004,0)=3676,MAX($AA$4:AA3679)+1,""))</f>
        <v/>
      </c>
    </row>
    <row r="3681" spans="1:27">
      <c r="A3681" s="9"/>
      <c r="Z3681">
        <f>TRIM(A3681&amp;"")</f>
        <v/>
      </c>
      <c r="AA3681">
        <f>IF(Z3681="","",IF(MATCH(SUBSTITUTE(SUBSTITUTE(SUBSTITUTE(Z3681,"~","~~"),"*","~*"),"?","~?"),$Z$5:$Z$5004,0)=3677,MAX($AA$4:AA3680)+1,""))</f>
        <v/>
      </c>
    </row>
    <row r="3682" spans="1:27">
      <c r="A3682" s="9"/>
      <c r="Z3682">
        <f>TRIM(A3682&amp;"")</f>
        <v/>
      </c>
      <c r="AA3682">
        <f>IF(Z3682="","",IF(MATCH(SUBSTITUTE(SUBSTITUTE(SUBSTITUTE(Z3682,"~","~~"),"*","~*"),"?","~?"),$Z$5:$Z$5004,0)=3678,MAX($AA$4:AA3681)+1,""))</f>
        <v/>
      </c>
    </row>
    <row r="3683" spans="1:27">
      <c r="A3683" s="9"/>
      <c r="Z3683">
        <f>TRIM(A3683&amp;"")</f>
        <v/>
      </c>
      <c r="AA3683">
        <f>IF(Z3683="","",IF(MATCH(SUBSTITUTE(SUBSTITUTE(SUBSTITUTE(Z3683,"~","~~"),"*","~*"),"?","~?"),$Z$5:$Z$5004,0)=3679,MAX($AA$4:AA3682)+1,""))</f>
        <v/>
      </c>
    </row>
    <row r="3684" spans="1:27">
      <c r="A3684" s="9"/>
      <c r="Z3684">
        <f>TRIM(A3684&amp;"")</f>
        <v/>
      </c>
      <c r="AA3684">
        <f>IF(Z3684="","",IF(MATCH(SUBSTITUTE(SUBSTITUTE(SUBSTITUTE(Z3684,"~","~~"),"*","~*"),"?","~?"),$Z$5:$Z$5004,0)=3680,MAX($AA$4:AA3683)+1,""))</f>
        <v/>
      </c>
    </row>
    <row r="3685" spans="1:27">
      <c r="A3685" s="9"/>
      <c r="Z3685">
        <f>TRIM(A3685&amp;"")</f>
        <v/>
      </c>
      <c r="AA3685">
        <f>IF(Z3685="","",IF(MATCH(SUBSTITUTE(SUBSTITUTE(SUBSTITUTE(Z3685,"~","~~"),"*","~*"),"?","~?"),$Z$5:$Z$5004,0)=3681,MAX($AA$4:AA3684)+1,""))</f>
        <v/>
      </c>
    </row>
    <row r="3686" spans="1:27">
      <c r="A3686" s="9"/>
      <c r="Z3686">
        <f>TRIM(A3686&amp;"")</f>
        <v/>
      </c>
      <c r="AA3686">
        <f>IF(Z3686="","",IF(MATCH(SUBSTITUTE(SUBSTITUTE(SUBSTITUTE(Z3686,"~","~~"),"*","~*"),"?","~?"),$Z$5:$Z$5004,0)=3682,MAX($AA$4:AA3685)+1,""))</f>
        <v/>
      </c>
    </row>
    <row r="3687" spans="1:27">
      <c r="A3687" s="9"/>
      <c r="Z3687">
        <f>TRIM(A3687&amp;"")</f>
        <v/>
      </c>
      <c r="AA3687">
        <f>IF(Z3687="","",IF(MATCH(SUBSTITUTE(SUBSTITUTE(SUBSTITUTE(Z3687,"~","~~"),"*","~*"),"?","~?"),$Z$5:$Z$5004,0)=3683,MAX($AA$4:AA3686)+1,""))</f>
        <v/>
      </c>
    </row>
    <row r="3688" spans="1:27">
      <c r="A3688" s="9"/>
      <c r="Z3688">
        <f>TRIM(A3688&amp;"")</f>
        <v/>
      </c>
      <c r="AA3688">
        <f>IF(Z3688="","",IF(MATCH(SUBSTITUTE(SUBSTITUTE(SUBSTITUTE(Z3688,"~","~~"),"*","~*"),"?","~?"),$Z$5:$Z$5004,0)=3684,MAX($AA$4:AA3687)+1,""))</f>
        <v/>
      </c>
    </row>
    <row r="3689" spans="1:27">
      <c r="A3689" s="9"/>
      <c r="Z3689">
        <f>TRIM(A3689&amp;"")</f>
        <v/>
      </c>
      <c r="AA3689">
        <f>IF(Z3689="","",IF(MATCH(SUBSTITUTE(SUBSTITUTE(SUBSTITUTE(Z3689,"~","~~"),"*","~*"),"?","~?"),$Z$5:$Z$5004,0)=3685,MAX($AA$4:AA3688)+1,""))</f>
        <v/>
      </c>
    </row>
    <row r="3690" spans="1:27">
      <c r="A3690" s="9"/>
      <c r="Z3690">
        <f>TRIM(A3690&amp;"")</f>
        <v/>
      </c>
      <c r="AA3690">
        <f>IF(Z3690="","",IF(MATCH(SUBSTITUTE(SUBSTITUTE(SUBSTITUTE(Z3690,"~","~~"),"*","~*"),"?","~?"),$Z$5:$Z$5004,0)=3686,MAX($AA$4:AA3689)+1,""))</f>
        <v/>
      </c>
    </row>
    <row r="3691" spans="1:27">
      <c r="A3691" s="9"/>
      <c r="Z3691">
        <f>TRIM(A3691&amp;"")</f>
        <v/>
      </c>
      <c r="AA3691">
        <f>IF(Z3691="","",IF(MATCH(SUBSTITUTE(SUBSTITUTE(SUBSTITUTE(Z3691,"~","~~"),"*","~*"),"?","~?"),$Z$5:$Z$5004,0)=3687,MAX($AA$4:AA3690)+1,""))</f>
        <v/>
      </c>
    </row>
    <row r="3692" spans="1:27">
      <c r="A3692" s="9"/>
      <c r="Z3692">
        <f>TRIM(A3692&amp;"")</f>
        <v/>
      </c>
      <c r="AA3692">
        <f>IF(Z3692="","",IF(MATCH(SUBSTITUTE(SUBSTITUTE(SUBSTITUTE(Z3692,"~","~~"),"*","~*"),"?","~?"),$Z$5:$Z$5004,0)=3688,MAX($AA$4:AA3691)+1,""))</f>
        <v/>
      </c>
    </row>
    <row r="3693" spans="1:27">
      <c r="A3693" s="9"/>
      <c r="Z3693">
        <f>TRIM(A3693&amp;"")</f>
        <v/>
      </c>
      <c r="AA3693">
        <f>IF(Z3693="","",IF(MATCH(SUBSTITUTE(SUBSTITUTE(SUBSTITUTE(Z3693,"~","~~"),"*","~*"),"?","~?"),$Z$5:$Z$5004,0)=3689,MAX($AA$4:AA3692)+1,""))</f>
        <v/>
      </c>
    </row>
    <row r="3694" spans="1:27">
      <c r="A3694" s="9"/>
      <c r="Z3694">
        <f>TRIM(A3694&amp;"")</f>
        <v/>
      </c>
      <c r="AA3694">
        <f>IF(Z3694="","",IF(MATCH(SUBSTITUTE(SUBSTITUTE(SUBSTITUTE(Z3694,"~","~~"),"*","~*"),"?","~?"),$Z$5:$Z$5004,0)=3690,MAX($AA$4:AA3693)+1,""))</f>
        <v/>
      </c>
    </row>
    <row r="3695" spans="1:27">
      <c r="A3695" s="9"/>
      <c r="Z3695">
        <f>TRIM(A3695&amp;"")</f>
        <v/>
      </c>
      <c r="AA3695">
        <f>IF(Z3695="","",IF(MATCH(SUBSTITUTE(SUBSTITUTE(SUBSTITUTE(Z3695,"~","~~"),"*","~*"),"?","~?"),$Z$5:$Z$5004,0)=3691,MAX($AA$4:AA3694)+1,""))</f>
        <v/>
      </c>
    </row>
    <row r="3696" spans="1:27">
      <c r="A3696" s="9"/>
      <c r="Z3696">
        <f>TRIM(A3696&amp;"")</f>
        <v/>
      </c>
      <c r="AA3696">
        <f>IF(Z3696="","",IF(MATCH(SUBSTITUTE(SUBSTITUTE(SUBSTITUTE(Z3696,"~","~~"),"*","~*"),"?","~?"),$Z$5:$Z$5004,0)=3692,MAX($AA$4:AA3695)+1,""))</f>
        <v/>
      </c>
    </row>
    <row r="3697" spans="1:27">
      <c r="A3697" s="9"/>
      <c r="Z3697">
        <f>TRIM(A3697&amp;"")</f>
        <v/>
      </c>
      <c r="AA3697">
        <f>IF(Z3697="","",IF(MATCH(SUBSTITUTE(SUBSTITUTE(SUBSTITUTE(Z3697,"~","~~"),"*","~*"),"?","~?"),$Z$5:$Z$5004,0)=3693,MAX($AA$4:AA3696)+1,""))</f>
        <v/>
      </c>
    </row>
    <row r="3698" spans="1:27">
      <c r="A3698" s="9"/>
      <c r="Z3698">
        <f>TRIM(A3698&amp;"")</f>
        <v/>
      </c>
      <c r="AA3698">
        <f>IF(Z3698="","",IF(MATCH(SUBSTITUTE(SUBSTITUTE(SUBSTITUTE(Z3698,"~","~~"),"*","~*"),"?","~?"),$Z$5:$Z$5004,0)=3694,MAX($AA$4:AA3697)+1,""))</f>
        <v/>
      </c>
    </row>
    <row r="3699" spans="1:27">
      <c r="A3699" s="9"/>
      <c r="Z3699">
        <f>TRIM(A3699&amp;"")</f>
        <v/>
      </c>
      <c r="AA3699">
        <f>IF(Z3699="","",IF(MATCH(SUBSTITUTE(SUBSTITUTE(SUBSTITUTE(Z3699,"~","~~"),"*","~*"),"?","~?"),$Z$5:$Z$5004,0)=3695,MAX($AA$4:AA3698)+1,""))</f>
        <v/>
      </c>
    </row>
    <row r="3700" spans="1:27">
      <c r="A3700" s="9"/>
      <c r="Z3700">
        <f>TRIM(A3700&amp;"")</f>
        <v/>
      </c>
      <c r="AA3700">
        <f>IF(Z3700="","",IF(MATCH(SUBSTITUTE(SUBSTITUTE(SUBSTITUTE(Z3700,"~","~~"),"*","~*"),"?","~?"),$Z$5:$Z$5004,0)=3696,MAX($AA$4:AA3699)+1,""))</f>
        <v/>
      </c>
    </row>
    <row r="3701" spans="1:27">
      <c r="A3701" s="9"/>
      <c r="Z3701">
        <f>TRIM(A3701&amp;"")</f>
        <v/>
      </c>
      <c r="AA3701">
        <f>IF(Z3701="","",IF(MATCH(SUBSTITUTE(SUBSTITUTE(SUBSTITUTE(Z3701,"~","~~"),"*","~*"),"?","~?"),$Z$5:$Z$5004,0)=3697,MAX($AA$4:AA3700)+1,""))</f>
        <v/>
      </c>
    </row>
    <row r="3702" spans="1:27">
      <c r="A3702" s="9"/>
      <c r="Z3702">
        <f>TRIM(A3702&amp;"")</f>
        <v/>
      </c>
      <c r="AA3702">
        <f>IF(Z3702="","",IF(MATCH(SUBSTITUTE(SUBSTITUTE(SUBSTITUTE(Z3702,"~","~~"),"*","~*"),"?","~?"),$Z$5:$Z$5004,0)=3698,MAX($AA$4:AA3701)+1,""))</f>
        <v/>
      </c>
    </row>
    <row r="3703" spans="1:27">
      <c r="A3703" s="9"/>
      <c r="Z3703">
        <f>TRIM(A3703&amp;"")</f>
        <v/>
      </c>
      <c r="AA3703">
        <f>IF(Z3703="","",IF(MATCH(SUBSTITUTE(SUBSTITUTE(SUBSTITUTE(Z3703,"~","~~"),"*","~*"),"?","~?"),$Z$5:$Z$5004,0)=3699,MAX($AA$4:AA3702)+1,""))</f>
        <v/>
      </c>
    </row>
    <row r="3704" spans="1:27">
      <c r="A3704" s="9"/>
      <c r="Z3704">
        <f>TRIM(A3704&amp;"")</f>
        <v/>
      </c>
      <c r="AA3704">
        <f>IF(Z3704="","",IF(MATCH(SUBSTITUTE(SUBSTITUTE(SUBSTITUTE(Z3704,"~","~~"),"*","~*"),"?","~?"),$Z$5:$Z$5004,0)=3700,MAX($AA$4:AA3703)+1,""))</f>
        <v/>
      </c>
    </row>
    <row r="3705" spans="1:27">
      <c r="A3705" s="9"/>
      <c r="Z3705">
        <f>TRIM(A3705&amp;"")</f>
        <v/>
      </c>
      <c r="AA3705">
        <f>IF(Z3705="","",IF(MATCH(SUBSTITUTE(SUBSTITUTE(SUBSTITUTE(Z3705,"~","~~"),"*","~*"),"?","~?"),$Z$5:$Z$5004,0)=3701,MAX($AA$4:AA3704)+1,""))</f>
        <v/>
      </c>
    </row>
    <row r="3706" spans="1:27">
      <c r="A3706" s="9"/>
      <c r="Z3706">
        <f>TRIM(A3706&amp;"")</f>
        <v/>
      </c>
      <c r="AA3706">
        <f>IF(Z3706="","",IF(MATCH(SUBSTITUTE(SUBSTITUTE(SUBSTITUTE(Z3706,"~","~~"),"*","~*"),"?","~?"),$Z$5:$Z$5004,0)=3702,MAX($AA$4:AA3705)+1,""))</f>
        <v/>
      </c>
    </row>
    <row r="3707" spans="1:27">
      <c r="A3707" s="9"/>
      <c r="Z3707">
        <f>TRIM(A3707&amp;"")</f>
        <v/>
      </c>
      <c r="AA3707">
        <f>IF(Z3707="","",IF(MATCH(SUBSTITUTE(SUBSTITUTE(SUBSTITUTE(Z3707,"~","~~"),"*","~*"),"?","~?"),$Z$5:$Z$5004,0)=3703,MAX($AA$4:AA3706)+1,""))</f>
        <v/>
      </c>
    </row>
    <row r="3708" spans="1:27">
      <c r="A3708" s="9"/>
      <c r="Z3708">
        <f>TRIM(A3708&amp;"")</f>
        <v/>
      </c>
      <c r="AA3708">
        <f>IF(Z3708="","",IF(MATCH(SUBSTITUTE(SUBSTITUTE(SUBSTITUTE(Z3708,"~","~~"),"*","~*"),"?","~?"),$Z$5:$Z$5004,0)=3704,MAX($AA$4:AA3707)+1,""))</f>
        <v/>
      </c>
    </row>
    <row r="3709" spans="1:27">
      <c r="A3709" s="9"/>
      <c r="Z3709">
        <f>TRIM(A3709&amp;"")</f>
        <v/>
      </c>
      <c r="AA3709">
        <f>IF(Z3709="","",IF(MATCH(SUBSTITUTE(SUBSTITUTE(SUBSTITUTE(Z3709,"~","~~"),"*","~*"),"?","~?"),$Z$5:$Z$5004,0)=3705,MAX($AA$4:AA3708)+1,""))</f>
        <v/>
      </c>
    </row>
    <row r="3710" spans="1:27">
      <c r="A3710" s="9"/>
      <c r="Z3710">
        <f>TRIM(A3710&amp;"")</f>
        <v/>
      </c>
      <c r="AA3710">
        <f>IF(Z3710="","",IF(MATCH(SUBSTITUTE(SUBSTITUTE(SUBSTITUTE(Z3710,"~","~~"),"*","~*"),"?","~?"),$Z$5:$Z$5004,0)=3706,MAX($AA$4:AA3709)+1,""))</f>
        <v/>
      </c>
    </row>
    <row r="3711" spans="1:27">
      <c r="A3711" s="9"/>
      <c r="Z3711">
        <f>TRIM(A3711&amp;"")</f>
        <v/>
      </c>
      <c r="AA3711">
        <f>IF(Z3711="","",IF(MATCH(SUBSTITUTE(SUBSTITUTE(SUBSTITUTE(Z3711,"~","~~"),"*","~*"),"?","~?"),$Z$5:$Z$5004,0)=3707,MAX($AA$4:AA3710)+1,""))</f>
        <v/>
      </c>
    </row>
    <row r="3712" spans="1:27">
      <c r="A3712" s="9"/>
      <c r="Z3712">
        <f>TRIM(A3712&amp;"")</f>
        <v/>
      </c>
      <c r="AA3712">
        <f>IF(Z3712="","",IF(MATCH(SUBSTITUTE(SUBSTITUTE(SUBSTITUTE(Z3712,"~","~~"),"*","~*"),"?","~?"),$Z$5:$Z$5004,0)=3708,MAX($AA$4:AA3711)+1,""))</f>
        <v/>
      </c>
    </row>
    <row r="3713" spans="1:27">
      <c r="A3713" s="9"/>
      <c r="Z3713">
        <f>TRIM(A3713&amp;"")</f>
        <v/>
      </c>
      <c r="AA3713">
        <f>IF(Z3713="","",IF(MATCH(SUBSTITUTE(SUBSTITUTE(SUBSTITUTE(Z3713,"~","~~"),"*","~*"),"?","~?"),$Z$5:$Z$5004,0)=3709,MAX($AA$4:AA3712)+1,""))</f>
        <v/>
      </c>
    </row>
    <row r="3714" spans="1:27">
      <c r="A3714" s="9"/>
      <c r="Z3714">
        <f>TRIM(A3714&amp;"")</f>
        <v/>
      </c>
      <c r="AA3714">
        <f>IF(Z3714="","",IF(MATCH(SUBSTITUTE(SUBSTITUTE(SUBSTITUTE(Z3714,"~","~~"),"*","~*"),"?","~?"),$Z$5:$Z$5004,0)=3710,MAX($AA$4:AA3713)+1,""))</f>
        <v/>
      </c>
    </row>
    <row r="3715" spans="1:27">
      <c r="A3715" s="9"/>
      <c r="Z3715">
        <f>TRIM(A3715&amp;"")</f>
        <v/>
      </c>
      <c r="AA3715">
        <f>IF(Z3715="","",IF(MATCH(SUBSTITUTE(SUBSTITUTE(SUBSTITUTE(Z3715,"~","~~"),"*","~*"),"?","~?"),$Z$5:$Z$5004,0)=3711,MAX($AA$4:AA3714)+1,""))</f>
        <v/>
      </c>
    </row>
    <row r="3716" spans="1:27">
      <c r="A3716" s="9"/>
      <c r="Z3716">
        <f>TRIM(A3716&amp;"")</f>
        <v/>
      </c>
      <c r="AA3716">
        <f>IF(Z3716="","",IF(MATCH(SUBSTITUTE(SUBSTITUTE(SUBSTITUTE(Z3716,"~","~~"),"*","~*"),"?","~?"),$Z$5:$Z$5004,0)=3712,MAX($AA$4:AA3715)+1,""))</f>
        <v/>
      </c>
    </row>
    <row r="3717" spans="1:27">
      <c r="A3717" s="9"/>
      <c r="Z3717">
        <f>TRIM(A3717&amp;"")</f>
        <v/>
      </c>
      <c r="AA3717">
        <f>IF(Z3717="","",IF(MATCH(SUBSTITUTE(SUBSTITUTE(SUBSTITUTE(Z3717,"~","~~"),"*","~*"),"?","~?"),$Z$5:$Z$5004,0)=3713,MAX($AA$4:AA3716)+1,""))</f>
        <v/>
      </c>
    </row>
    <row r="3718" spans="1:27">
      <c r="A3718" s="9"/>
      <c r="Z3718">
        <f>TRIM(A3718&amp;"")</f>
        <v/>
      </c>
      <c r="AA3718">
        <f>IF(Z3718="","",IF(MATCH(SUBSTITUTE(SUBSTITUTE(SUBSTITUTE(Z3718,"~","~~"),"*","~*"),"?","~?"),$Z$5:$Z$5004,0)=3714,MAX($AA$4:AA3717)+1,""))</f>
        <v/>
      </c>
    </row>
    <row r="3719" spans="1:27">
      <c r="A3719" s="9"/>
      <c r="Z3719">
        <f>TRIM(A3719&amp;"")</f>
        <v/>
      </c>
      <c r="AA3719">
        <f>IF(Z3719="","",IF(MATCH(SUBSTITUTE(SUBSTITUTE(SUBSTITUTE(Z3719,"~","~~"),"*","~*"),"?","~?"),$Z$5:$Z$5004,0)=3715,MAX($AA$4:AA3718)+1,""))</f>
        <v/>
      </c>
    </row>
    <row r="3720" spans="1:27">
      <c r="A3720" s="9"/>
      <c r="Z3720">
        <f>TRIM(A3720&amp;"")</f>
        <v/>
      </c>
      <c r="AA3720">
        <f>IF(Z3720="","",IF(MATCH(SUBSTITUTE(SUBSTITUTE(SUBSTITUTE(Z3720,"~","~~"),"*","~*"),"?","~?"),$Z$5:$Z$5004,0)=3716,MAX($AA$4:AA3719)+1,""))</f>
        <v/>
      </c>
    </row>
    <row r="3721" spans="1:27">
      <c r="A3721" s="9"/>
      <c r="Z3721">
        <f>TRIM(A3721&amp;"")</f>
        <v/>
      </c>
      <c r="AA3721">
        <f>IF(Z3721="","",IF(MATCH(SUBSTITUTE(SUBSTITUTE(SUBSTITUTE(Z3721,"~","~~"),"*","~*"),"?","~?"),$Z$5:$Z$5004,0)=3717,MAX($AA$4:AA3720)+1,""))</f>
        <v/>
      </c>
    </row>
    <row r="3722" spans="1:27">
      <c r="A3722" s="9"/>
      <c r="Z3722">
        <f>TRIM(A3722&amp;"")</f>
        <v/>
      </c>
      <c r="AA3722">
        <f>IF(Z3722="","",IF(MATCH(SUBSTITUTE(SUBSTITUTE(SUBSTITUTE(Z3722,"~","~~"),"*","~*"),"?","~?"),$Z$5:$Z$5004,0)=3718,MAX($AA$4:AA3721)+1,""))</f>
        <v/>
      </c>
    </row>
    <row r="3723" spans="1:27">
      <c r="A3723" s="9"/>
      <c r="Z3723">
        <f>TRIM(A3723&amp;"")</f>
        <v/>
      </c>
      <c r="AA3723">
        <f>IF(Z3723="","",IF(MATCH(SUBSTITUTE(SUBSTITUTE(SUBSTITUTE(Z3723,"~","~~"),"*","~*"),"?","~?"),$Z$5:$Z$5004,0)=3719,MAX($AA$4:AA3722)+1,""))</f>
        <v/>
      </c>
    </row>
    <row r="3724" spans="1:27">
      <c r="A3724" s="9"/>
      <c r="Z3724">
        <f>TRIM(A3724&amp;"")</f>
        <v/>
      </c>
      <c r="AA3724">
        <f>IF(Z3724="","",IF(MATCH(SUBSTITUTE(SUBSTITUTE(SUBSTITUTE(Z3724,"~","~~"),"*","~*"),"?","~?"),$Z$5:$Z$5004,0)=3720,MAX($AA$4:AA3723)+1,""))</f>
        <v/>
      </c>
    </row>
    <row r="3725" spans="1:27">
      <c r="A3725" s="9"/>
      <c r="Z3725">
        <f>TRIM(A3725&amp;"")</f>
        <v/>
      </c>
      <c r="AA3725">
        <f>IF(Z3725="","",IF(MATCH(SUBSTITUTE(SUBSTITUTE(SUBSTITUTE(Z3725,"~","~~"),"*","~*"),"?","~?"),$Z$5:$Z$5004,0)=3721,MAX($AA$4:AA3724)+1,""))</f>
        <v/>
      </c>
    </row>
    <row r="3726" spans="1:27">
      <c r="A3726" s="9"/>
      <c r="Z3726">
        <f>TRIM(A3726&amp;"")</f>
        <v/>
      </c>
      <c r="AA3726">
        <f>IF(Z3726="","",IF(MATCH(SUBSTITUTE(SUBSTITUTE(SUBSTITUTE(Z3726,"~","~~"),"*","~*"),"?","~?"),$Z$5:$Z$5004,0)=3722,MAX($AA$4:AA3725)+1,""))</f>
        <v/>
      </c>
    </row>
    <row r="3727" spans="1:27">
      <c r="A3727" s="9"/>
      <c r="Z3727">
        <f>TRIM(A3727&amp;"")</f>
        <v/>
      </c>
      <c r="AA3727">
        <f>IF(Z3727="","",IF(MATCH(SUBSTITUTE(SUBSTITUTE(SUBSTITUTE(Z3727,"~","~~"),"*","~*"),"?","~?"),$Z$5:$Z$5004,0)=3723,MAX($AA$4:AA3726)+1,""))</f>
        <v/>
      </c>
    </row>
    <row r="3728" spans="1:27">
      <c r="A3728" s="9"/>
      <c r="Z3728">
        <f>TRIM(A3728&amp;"")</f>
        <v/>
      </c>
      <c r="AA3728">
        <f>IF(Z3728="","",IF(MATCH(SUBSTITUTE(SUBSTITUTE(SUBSTITUTE(Z3728,"~","~~"),"*","~*"),"?","~?"),$Z$5:$Z$5004,0)=3724,MAX($AA$4:AA3727)+1,""))</f>
        <v/>
      </c>
    </row>
    <row r="3729" spans="1:27">
      <c r="A3729" s="9"/>
      <c r="Z3729">
        <f>TRIM(A3729&amp;"")</f>
        <v/>
      </c>
      <c r="AA3729">
        <f>IF(Z3729="","",IF(MATCH(SUBSTITUTE(SUBSTITUTE(SUBSTITUTE(Z3729,"~","~~"),"*","~*"),"?","~?"),$Z$5:$Z$5004,0)=3725,MAX($AA$4:AA3728)+1,""))</f>
        <v/>
      </c>
    </row>
    <row r="3730" spans="1:27">
      <c r="A3730" s="9"/>
      <c r="Z3730">
        <f>TRIM(A3730&amp;"")</f>
        <v/>
      </c>
      <c r="AA3730">
        <f>IF(Z3730="","",IF(MATCH(SUBSTITUTE(SUBSTITUTE(SUBSTITUTE(Z3730,"~","~~"),"*","~*"),"?","~?"),$Z$5:$Z$5004,0)=3726,MAX($AA$4:AA3729)+1,""))</f>
        <v/>
      </c>
    </row>
    <row r="3731" spans="1:27">
      <c r="A3731" s="9"/>
      <c r="Z3731">
        <f>TRIM(A3731&amp;"")</f>
        <v/>
      </c>
      <c r="AA3731">
        <f>IF(Z3731="","",IF(MATCH(SUBSTITUTE(SUBSTITUTE(SUBSTITUTE(Z3731,"~","~~"),"*","~*"),"?","~?"),$Z$5:$Z$5004,0)=3727,MAX($AA$4:AA3730)+1,""))</f>
        <v/>
      </c>
    </row>
    <row r="3732" spans="1:27">
      <c r="A3732" s="9"/>
      <c r="Z3732">
        <f>TRIM(A3732&amp;"")</f>
        <v/>
      </c>
      <c r="AA3732">
        <f>IF(Z3732="","",IF(MATCH(SUBSTITUTE(SUBSTITUTE(SUBSTITUTE(Z3732,"~","~~"),"*","~*"),"?","~?"),$Z$5:$Z$5004,0)=3728,MAX($AA$4:AA3731)+1,""))</f>
        <v/>
      </c>
    </row>
    <row r="3733" spans="1:27">
      <c r="A3733" s="9"/>
      <c r="Z3733">
        <f>TRIM(A3733&amp;"")</f>
        <v/>
      </c>
      <c r="AA3733">
        <f>IF(Z3733="","",IF(MATCH(SUBSTITUTE(SUBSTITUTE(SUBSTITUTE(Z3733,"~","~~"),"*","~*"),"?","~?"),$Z$5:$Z$5004,0)=3729,MAX($AA$4:AA3732)+1,""))</f>
        <v/>
      </c>
    </row>
    <row r="3734" spans="1:27">
      <c r="A3734" s="9"/>
      <c r="Z3734">
        <f>TRIM(A3734&amp;"")</f>
        <v/>
      </c>
      <c r="AA3734">
        <f>IF(Z3734="","",IF(MATCH(SUBSTITUTE(SUBSTITUTE(SUBSTITUTE(Z3734,"~","~~"),"*","~*"),"?","~?"),$Z$5:$Z$5004,0)=3730,MAX($AA$4:AA3733)+1,""))</f>
        <v/>
      </c>
    </row>
    <row r="3735" spans="1:27">
      <c r="A3735" s="9"/>
      <c r="Z3735">
        <f>TRIM(A3735&amp;"")</f>
        <v/>
      </c>
      <c r="AA3735">
        <f>IF(Z3735="","",IF(MATCH(SUBSTITUTE(SUBSTITUTE(SUBSTITUTE(Z3735,"~","~~"),"*","~*"),"?","~?"),$Z$5:$Z$5004,0)=3731,MAX($AA$4:AA3734)+1,""))</f>
        <v/>
      </c>
    </row>
    <row r="3736" spans="1:27">
      <c r="A3736" s="9"/>
      <c r="Z3736">
        <f>TRIM(A3736&amp;"")</f>
        <v/>
      </c>
      <c r="AA3736">
        <f>IF(Z3736="","",IF(MATCH(SUBSTITUTE(SUBSTITUTE(SUBSTITUTE(Z3736,"~","~~"),"*","~*"),"?","~?"),$Z$5:$Z$5004,0)=3732,MAX($AA$4:AA3735)+1,""))</f>
        <v/>
      </c>
    </row>
    <row r="3737" spans="1:27">
      <c r="A3737" s="9"/>
      <c r="Z3737">
        <f>TRIM(A3737&amp;"")</f>
        <v/>
      </c>
      <c r="AA3737">
        <f>IF(Z3737="","",IF(MATCH(SUBSTITUTE(SUBSTITUTE(SUBSTITUTE(Z3737,"~","~~"),"*","~*"),"?","~?"),$Z$5:$Z$5004,0)=3733,MAX($AA$4:AA3736)+1,""))</f>
        <v/>
      </c>
    </row>
    <row r="3738" spans="1:27">
      <c r="A3738" s="9"/>
      <c r="Z3738">
        <f>TRIM(A3738&amp;"")</f>
        <v/>
      </c>
      <c r="AA3738">
        <f>IF(Z3738="","",IF(MATCH(SUBSTITUTE(SUBSTITUTE(SUBSTITUTE(Z3738,"~","~~"),"*","~*"),"?","~?"),$Z$5:$Z$5004,0)=3734,MAX($AA$4:AA3737)+1,""))</f>
        <v/>
      </c>
    </row>
    <row r="3739" spans="1:27">
      <c r="A3739" s="9"/>
      <c r="Z3739">
        <f>TRIM(A3739&amp;"")</f>
        <v/>
      </c>
      <c r="AA3739">
        <f>IF(Z3739="","",IF(MATCH(SUBSTITUTE(SUBSTITUTE(SUBSTITUTE(Z3739,"~","~~"),"*","~*"),"?","~?"),$Z$5:$Z$5004,0)=3735,MAX($AA$4:AA3738)+1,""))</f>
        <v/>
      </c>
    </row>
    <row r="3740" spans="1:27">
      <c r="A3740" s="9"/>
      <c r="Z3740">
        <f>TRIM(A3740&amp;"")</f>
        <v/>
      </c>
      <c r="AA3740">
        <f>IF(Z3740="","",IF(MATCH(SUBSTITUTE(SUBSTITUTE(SUBSTITUTE(Z3740,"~","~~"),"*","~*"),"?","~?"),$Z$5:$Z$5004,0)=3736,MAX($AA$4:AA3739)+1,""))</f>
        <v/>
      </c>
    </row>
    <row r="3741" spans="1:27">
      <c r="A3741" s="9"/>
      <c r="Z3741">
        <f>TRIM(A3741&amp;"")</f>
        <v/>
      </c>
      <c r="AA3741">
        <f>IF(Z3741="","",IF(MATCH(SUBSTITUTE(SUBSTITUTE(SUBSTITUTE(Z3741,"~","~~"),"*","~*"),"?","~?"),$Z$5:$Z$5004,0)=3737,MAX($AA$4:AA3740)+1,""))</f>
        <v/>
      </c>
    </row>
    <row r="3742" spans="1:27">
      <c r="A3742" s="9"/>
      <c r="Z3742">
        <f>TRIM(A3742&amp;"")</f>
        <v/>
      </c>
      <c r="AA3742">
        <f>IF(Z3742="","",IF(MATCH(SUBSTITUTE(SUBSTITUTE(SUBSTITUTE(Z3742,"~","~~"),"*","~*"),"?","~?"),$Z$5:$Z$5004,0)=3738,MAX($AA$4:AA3741)+1,""))</f>
        <v/>
      </c>
    </row>
    <row r="3743" spans="1:27">
      <c r="A3743" s="9"/>
      <c r="Z3743">
        <f>TRIM(A3743&amp;"")</f>
        <v/>
      </c>
      <c r="AA3743">
        <f>IF(Z3743="","",IF(MATCH(SUBSTITUTE(SUBSTITUTE(SUBSTITUTE(Z3743,"~","~~"),"*","~*"),"?","~?"),$Z$5:$Z$5004,0)=3739,MAX($AA$4:AA3742)+1,""))</f>
        <v/>
      </c>
    </row>
    <row r="3744" spans="1:27">
      <c r="A3744" s="9"/>
      <c r="Z3744">
        <f>TRIM(A3744&amp;"")</f>
        <v/>
      </c>
      <c r="AA3744">
        <f>IF(Z3744="","",IF(MATCH(SUBSTITUTE(SUBSTITUTE(SUBSTITUTE(Z3744,"~","~~"),"*","~*"),"?","~?"),$Z$5:$Z$5004,0)=3740,MAX($AA$4:AA3743)+1,""))</f>
        <v/>
      </c>
    </row>
    <row r="3745" spans="1:27">
      <c r="A3745" s="9"/>
      <c r="Z3745">
        <f>TRIM(A3745&amp;"")</f>
        <v/>
      </c>
      <c r="AA3745">
        <f>IF(Z3745="","",IF(MATCH(SUBSTITUTE(SUBSTITUTE(SUBSTITUTE(Z3745,"~","~~"),"*","~*"),"?","~?"),$Z$5:$Z$5004,0)=3741,MAX($AA$4:AA3744)+1,""))</f>
        <v/>
      </c>
    </row>
    <row r="3746" spans="1:27">
      <c r="A3746" s="9"/>
      <c r="Z3746">
        <f>TRIM(A3746&amp;"")</f>
        <v/>
      </c>
      <c r="AA3746">
        <f>IF(Z3746="","",IF(MATCH(SUBSTITUTE(SUBSTITUTE(SUBSTITUTE(Z3746,"~","~~"),"*","~*"),"?","~?"),$Z$5:$Z$5004,0)=3742,MAX($AA$4:AA3745)+1,""))</f>
        <v/>
      </c>
    </row>
    <row r="3747" spans="1:27">
      <c r="A3747" s="9"/>
      <c r="Z3747">
        <f>TRIM(A3747&amp;"")</f>
        <v/>
      </c>
      <c r="AA3747">
        <f>IF(Z3747="","",IF(MATCH(SUBSTITUTE(SUBSTITUTE(SUBSTITUTE(Z3747,"~","~~"),"*","~*"),"?","~?"),$Z$5:$Z$5004,0)=3743,MAX($AA$4:AA3746)+1,""))</f>
        <v/>
      </c>
    </row>
    <row r="3748" spans="1:27">
      <c r="A3748" s="9"/>
      <c r="Z3748">
        <f>TRIM(A3748&amp;"")</f>
        <v/>
      </c>
      <c r="AA3748">
        <f>IF(Z3748="","",IF(MATCH(SUBSTITUTE(SUBSTITUTE(SUBSTITUTE(Z3748,"~","~~"),"*","~*"),"?","~?"),$Z$5:$Z$5004,0)=3744,MAX($AA$4:AA3747)+1,""))</f>
        <v/>
      </c>
    </row>
    <row r="3749" spans="1:27">
      <c r="A3749" s="9"/>
      <c r="Z3749">
        <f>TRIM(A3749&amp;"")</f>
        <v/>
      </c>
      <c r="AA3749">
        <f>IF(Z3749="","",IF(MATCH(SUBSTITUTE(SUBSTITUTE(SUBSTITUTE(Z3749,"~","~~"),"*","~*"),"?","~?"),$Z$5:$Z$5004,0)=3745,MAX($AA$4:AA3748)+1,""))</f>
        <v/>
      </c>
    </row>
    <row r="3750" spans="1:27">
      <c r="A3750" s="9"/>
      <c r="Z3750">
        <f>TRIM(A3750&amp;"")</f>
        <v/>
      </c>
      <c r="AA3750">
        <f>IF(Z3750="","",IF(MATCH(SUBSTITUTE(SUBSTITUTE(SUBSTITUTE(Z3750,"~","~~"),"*","~*"),"?","~?"),$Z$5:$Z$5004,0)=3746,MAX($AA$4:AA3749)+1,""))</f>
        <v/>
      </c>
    </row>
    <row r="3751" spans="1:27">
      <c r="A3751" s="9"/>
      <c r="Z3751">
        <f>TRIM(A3751&amp;"")</f>
        <v/>
      </c>
      <c r="AA3751">
        <f>IF(Z3751="","",IF(MATCH(SUBSTITUTE(SUBSTITUTE(SUBSTITUTE(Z3751,"~","~~"),"*","~*"),"?","~?"),$Z$5:$Z$5004,0)=3747,MAX($AA$4:AA3750)+1,""))</f>
        <v/>
      </c>
    </row>
    <row r="3752" spans="1:27">
      <c r="A3752" s="9"/>
      <c r="Z3752">
        <f>TRIM(A3752&amp;"")</f>
        <v/>
      </c>
      <c r="AA3752">
        <f>IF(Z3752="","",IF(MATCH(SUBSTITUTE(SUBSTITUTE(SUBSTITUTE(Z3752,"~","~~"),"*","~*"),"?","~?"),$Z$5:$Z$5004,0)=3748,MAX($AA$4:AA3751)+1,""))</f>
        <v/>
      </c>
    </row>
    <row r="3753" spans="1:27">
      <c r="A3753" s="9"/>
      <c r="Z3753">
        <f>TRIM(A3753&amp;"")</f>
        <v/>
      </c>
      <c r="AA3753">
        <f>IF(Z3753="","",IF(MATCH(SUBSTITUTE(SUBSTITUTE(SUBSTITUTE(Z3753,"~","~~"),"*","~*"),"?","~?"),$Z$5:$Z$5004,0)=3749,MAX($AA$4:AA3752)+1,""))</f>
        <v/>
      </c>
    </row>
    <row r="3754" spans="1:27">
      <c r="A3754" s="9"/>
      <c r="Z3754">
        <f>TRIM(A3754&amp;"")</f>
        <v/>
      </c>
      <c r="AA3754">
        <f>IF(Z3754="","",IF(MATCH(SUBSTITUTE(SUBSTITUTE(SUBSTITUTE(Z3754,"~","~~"),"*","~*"),"?","~?"),$Z$5:$Z$5004,0)=3750,MAX($AA$4:AA3753)+1,""))</f>
        <v/>
      </c>
    </row>
    <row r="3755" spans="1:27">
      <c r="A3755" s="9"/>
      <c r="Z3755">
        <f>TRIM(A3755&amp;"")</f>
        <v/>
      </c>
      <c r="AA3755">
        <f>IF(Z3755="","",IF(MATCH(SUBSTITUTE(SUBSTITUTE(SUBSTITUTE(Z3755,"~","~~"),"*","~*"),"?","~?"),$Z$5:$Z$5004,0)=3751,MAX($AA$4:AA3754)+1,""))</f>
        <v/>
      </c>
    </row>
    <row r="3756" spans="1:27">
      <c r="A3756" s="9"/>
      <c r="Z3756">
        <f>TRIM(A3756&amp;"")</f>
        <v/>
      </c>
      <c r="AA3756">
        <f>IF(Z3756="","",IF(MATCH(SUBSTITUTE(SUBSTITUTE(SUBSTITUTE(Z3756,"~","~~"),"*","~*"),"?","~?"),$Z$5:$Z$5004,0)=3752,MAX($AA$4:AA3755)+1,""))</f>
        <v/>
      </c>
    </row>
    <row r="3757" spans="1:27">
      <c r="A3757" s="9"/>
      <c r="Z3757">
        <f>TRIM(A3757&amp;"")</f>
        <v/>
      </c>
      <c r="AA3757">
        <f>IF(Z3757="","",IF(MATCH(SUBSTITUTE(SUBSTITUTE(SUBSTITUTE(Z3757,"~","~~"),"*","~*"),"?","~?"),$Z$5:$Z$5004,0)=3753,MAX($AA$4:AA3756)+1,""))</f>
        <v/>
      </c>
    </row>
    <row r="3758" spans="1:27">
      <c r="A3758" s="9"/>
      <c r="Z3758">
        <f>TRIM(A3758&amp;"")</f>
        <v/>
      </c>
      <c r="AA3758">
        <f>IF(Z3758="","",IF(MATCH(SUBSTITUTE(SUBSTITUTE(SUBSTITUTE(Z3758,"~","~~"),"*","~*"),"?","~?"),$Z$5:$Z$5004,0)=3754,MAX($AA$4:AA3757)+1,""))</f>
        <v/>
      </c>
    </row>
    <row r="3759" spans="1:27">
      <c r="A3759" s="9"/>
      <c r="Z3759">
        <f>TRIM(A3759&amp;"")</f>
        <v/>
      </c>
      <c r="AA3759">
        <f>IF(Z3759="","",IF(MATCH(SUBSTITUTE(SUBSTITUTE(SUBSTITUTE(Z3759,"~","~~"),"*","~*"),"?","~?"),$Z$5:$Z$5004,0)=3755,MAX($AA$4:AA3758)+1,""))</f>
        <v/>
      </c>
    </row>
    <row r="3760" spans="1:27">
      <c r="A3760" s="9"/>
      <c r="Z3760">
        <f>TRIM(A3760&amp;"")</f>
        <v/>
      </c>
      <c r="AA3760">
        <f>IF(Z3760="","",IF(MATCH(SUBSTITUTE(SUBSTITUTE(SUBSTITUTE(Z3760,"~","~~"),"*","~*"),"?","~?"),$Z$5:$Z$5004,0)=3756,MAX($AA$4:AA3759)+1,""))</f>
        <v/>
      </c>
    </row>
    <row r="3761" spans="1:27">
      <c r="A3761" s="9"/>
      <c r="Z3761">
        <f>TRIM(A3761&amp;"")</f>
        <v/>
      </c>
      <c r="AA3761">
        <f>IF(Z3761="","",IF(MATCH(SUBSTITUTE(SUBSTITUTE(SUBSTITUTE(Z3761,"~","~~"),"*","~*"),"?","~?"),$Z$5:$Z$5004,0)=3757,MAX($AA$4:AA3760)+1,""))</f>
        <v/>
      </c>
    </row>
    <row r="3762" spans="1:27">
      <c r="A3762" s="9"/>
      <c r="Z3762">
        <f>TRIM(A3762&amp;"")</f>
        <v/>
      </c>
      <c r="AA3762">
        <f>IF(Z3762="","",IF(MATCH(SUBSTITUTE(SUBSTITUTE(SUBSTITUTE(Z3762,"~","~~"),"*","~*"),"?","~?"),$Z$5:$Z$5004,0)=3758,MAX($AA$4:AA3761)+1,""))</f>
        <v/>
      </c>
    </row>
    <row r="3763" spans="1:27">
      <c r="A3763" s="9"/>
      <c r="Z3763">
        <f>TRIM(A3763&amp;"")</f>
        <v/>
      </c>
      <c r="AA3763">
        <f>IF(Z3763="","",IF(MATCH(SUBSTITUTE(SUBSTITUTE(SUBSTITUTE(Z3763,"~","~~"),"*","~*"),"?","~?"),$Z$5:$Z$5004,0)=3759,MAX($AA$4:AA3762)+1,""))</f>
        <v/>
      </c>
    </row>
    <row r="3764" spans="1:27">
      <c r="A3764" s="9"/>
      <c r="Z3764">
        <f>TRIM(A3764&amp;"")</f>
        <v/>
      </c>
      <c r="AA3764">
        <f>IF(Z3764="","",IF(MATCH(SUBSTITUTE(SUBSTITUTE(SUBSTITUTE(Z3764,"~","~~"),"*","~*"),"?","~?"),$Z$5:$Z$5004,0)=3760,MAX($AA$4:AA3763)+1,""))</f>
        <v/>
      </c>
    </row>
    <row r="3765" spans="1:27">
      <c r="A3765" s="9"/>
      <c r="Z3765">
        <f>TRIM(A3765&amp;"")</f>
        <v/>
      </c>
      <c r="AA3765">
        <f>IF(Z3765="","",IF(MATCH(SUBSTITUTE(SUBSTITUTE(SUBSTITUTE(Z3765,"~","~~"),"*","~*"),"?","~?"),$Z$5:$Z$5004,0)=3761,MAX($AA$4:AA3764)+1,""))</f>
        <v/>
      </c>
    </row>
    <row r="3766" spans="1:27">
      <c r="A3766" s="9"/>
      <c r="Z3766">
        <f>TRIM(A3766&amp;"")</f>
        <v/>
      </c>
      <c r="AA3766">
        <f>IF(Z3766="","",IF(MATCH(SUBSTITUTE(SUBSTITUTE(SUBSTITUTE(Z3766,"~","~~"),"*","~*"),"?","~?"),$Z$5:$Z$5004,0)=3762,MAX($AA$4:AA3765)+1,""))</f>
        <v/>
      </c>
    </row>
    <row r="3767" spans="1:27">
      <c r="A3767" s="9"/>
      <c r="Z3767">
        <f>TRIM(A3767&amp;"")</f>
        <v/>
      </c>
      <c r="AA3767">
        <f>IF(Z3767="","",IF(MATCH(SUBSTITUTE(SUBSTITUTE(SUBSTITUTE(Z3767,"~","~~"),"*","~*"),"?","~?"),$Z$5:$Z$5004,0)=3763,MAX($AA$4:AA3766)+1,""))</f>
        <v/>
      </c>
    </row>
    <row r="3768" spans="1:27">
      <c r="A3768" s="9"/>
      <c r="Z3768">
        <f>TRIM(A3768&amp;"")</f>
        <v/>
      </c>
      <c r="AA3768">
        <f>IF(Z3768="","",IF(MATCH(SUBSTITUTE(SUBSTITUTE(SUBSTITUTE(Z3768,"~","~~"),"*","~*"),"?","~?"),$Z$5:$Z$5004,0)=3764,MAX($AA$4:AA3767)+1,""))</f>
        <v/>
      </c>
    </row>
    <row r="3769" spans="1:27">
      <c r="A3769" s="9"/>
      <c r="Z3769">
        <f>TRIM(A3769&amp;"")</f>
        <v/>
      </c>
      <c r="AA3769">
        <f>IF(Z3769="","",IF(MATCH(SUBSTITUTE(SUBSTITUTE(SUBSTITUTE(Z3769,"~","~~"),"*","~*"),"?","~?"),$Z$5:$Z$5004,0)=3765,MAX($AA$4:AA3768)+1,""))</f>
        <v/>
      </c>
    </row>
    <row r="3770" spans="1:27">
      <c r="A3770" s="9"/>
      <c r="Z3770">
        <f>TRIM(A3770&amp;"")</f>
        <v/>
      </c>
      <c r="AA3770">
        <f>IF(Z3770="","",IF(MATCH(SUBSTITUTE(SUBSTITUTE(SUBSTITUTE(Z3770,"~","~~"),"*","~*"),"?","~?"),$Z$5:$Z$5004,0)=3766,MAX($AA$4:AA3769)+1,""))</f>
        <v/>
      </c>
    </row>
    <row r="3771" spans="1:27">
      <c r="A3771" s="9"/>
      <c r="Z3771">
        <f>TRIM(A3771&amp;"")</f>
        <v/>
      </c>
      <c r="AA3771">
        <f>IF(Z3771="","",IF(MATCH(SUBSTITUTE(SUBSTITUTE(SUBSTITUTE(Z3771,"~","~~"),"*","~*"),"?","~?"),$Z$5:$Z$5004,0)=3767,MAX($AA$4:AA3770)+1,""))</f>
        <v/>
      </c>
    </row>
    <row r="3772" spans="1:27">
      <c r="A3772" s="9"/>
      <c r="Z3772">
        <f>TRIM(A3772&amp;"")</f>
        <v/>
      </c>
      <c r="AA3772">
        <f>IF(Z3772="","",IF(MATCH(SUBSTITUTE(SUBSTITUTE(SUBSTITUTE(Z3772,"~","~~"),"*","~*"),"?","~?"),$Z$5:$Z$5004,0)=3768,MAX($AA$4:AA3771)+1,""))</f>
        <v/>
      </c>
    </row>
    <row r="3773" spans="1:27">
      <c r="A3773" s="9"/>
      <c r="Z3773">
        <f>TRIM(A3773&amp;"")</f>
        <v/>
      </c>
      <c r="AA3773">
        <f>IF(Z3773="","",IF(MATCH(SUBSTITUTE(SUBSTITUTE(SUBSTITUTE(Z3773,"~","~~"),"*","~*"),"?","~?"),$Z$5:$Z$5004,0)=3769,MAX($AA$4:AA3772)+1,""))</f>
        <v/>
      </c>
    </row>
    <row r="3774" spans="1:27">
      <c r="A3774" s="9"/>
      <c r="Z3774">
        <f>TRIM(A3774&amp;"")</f>
        <v/>
      </c>
      <c r="AA3774">
        <f>IF(Z3774="","",IF(MATCH(SUBSTITUTE(SUBSTITUTE(SUBSTITUTE(Z3774,"~","~~"),"*","~*"),"?","~?"),$Z$5:$Z$5004,0)=3770,MAX($AA$4:AA3773)+1,""))</f>
        <v/>
      </c>
    </row>
    <row r="3775" spans="1:27">
      <c r="A3775" s="9"/>
      <c r="Z3775">
        <f>TRIM(A3775&amp;"")</f>
        <v/>
      </c>
      <c r="AA3775">
        <f>IF(Z3775="","",IF(MATCH(SUBSTITUTE(SUBSTITUTE(SUBSTITUTE(Z3775,"~","~~"),"*","~*"),"?","~?"),$Z$5:$Z$5004,0)=3771,MAX($AA$4:AA3774)+1,""))</f>
        <v/>
      </c>
    </row>
    <row r="3776" spans="1:27">
      <c r="A3776" s="9"/>
      <c r="Z3776">
        <f>TRIM(A3776&amp;"")</f>
        <v/>
      </c>
      <c r="AA3776">
        <f>IF(Z3776="","",IF(MATCH(SUBSTITUTE(SUBSTITUTE(SUBSTITUTE(Z3776,"~","~~"),"*","~*"),"?","~?"),$Z$5:$Z$5004,0)=3772,MAX($AA$4:AA3775)+1,""))</f>
        <v/>
      </c>
    </row>
    <row r="3777" spans="1:27">
      <c r="A3777" s="9"/>
      <c r="Z3777">
        <f>TRIM(A3777&amp;"")</f>
        <v/>
      </c>
      <c r="AA3777">
        <f>IF(Z3777="","",IF(MATCH(SUBSTITUTE(SUBSTITUTE(SUBSTITUTE(Z3777,"~","~~"),"*","~*"),"?","~?"),$Z$5:$Z$5004,0)=3773,MAX($AA$4:AA3776)+1,""))</f>
        <v/>
      </c>
    </row>
    <row r="3778" spans="1:27">
      <c r="A3778" s="9"/>
      <c r="Z3778">
        <f>TRIM(A3778&amp;"")</f>
        <v/>
      </c>
      <c r="AA3778">
        <f>IF(Z3778="","",IF(MATCH(SUBSTITUTE(SUBSTITUTE(SUBSTITUTE(Z3778,"~","~~"),"*","~*"),"?","~?"),$Z$5:$Z$5004,0)=3774,MAX($AA$4:AA3777)+1,""))</f>
        <v/>
      </c>
    </row>
    <row r="3779" spans="1:27">
      <c r="A3779" s="9"/>
      <c r="Z3779">
        <f>TRIM(A3779&amp;"")</f>
        <v/>
      </c>
      <c r="AA3779">
        <f>IF(Z3779="","",IF(MATCH(SUBSTITUTE(SUBSTITUTE(SUBSTITUTE(Z3779,"~","~~"),"*","~*"),"?","~?"),$Z$5:$Z$5004,0)=3775,MAX($AA$4:AA3778)+1,""))</f>
        <v/>
      </c>
    </row>
    <row r="3780" spans="1:27">
      <c r="A3780" s="9"/>
      <c r="Z3780">
        <f>TRIM(A3780&amp;"")</f>
        <v/>
      </c>
      <c r="AA3780">
        <f>IF(Z3780="","",IF(MATCH(SUBSTITUTE(SUBSTITUTE(SUBSTITUTE(Z3780,"~","~~"),"*","~*"),"?","~?"),$Z$5:$Z$5004,0)=3776,MAX($AA$4:AA3779)+1,""))</f>
        <v/>
      </c>
    </row>
    <row r="3781" spans="1:27">
      <c r="A3781" s="9"/>
      <c r="Z3781">
        <f>TRIM(A3781&amp;"")</f>
        <v/>
      </c>
      <c r="AA3781">
        <f>IF(Z3781="","",IF(MATCH(SUBSTITUTE(SUBSTITUTE(SUBSTITUTE(Z3781,"~","~~"),"*","~*"),"?","~?"),$Z$5:$Z$5004,0)=3777,MAX($AA$4:AA3780)+1,""))</f>
        <v/>
      </c>
    </row>
    <row r="3782" spans="1:27">
      <c r="A3782" s="9"/>
      <c r="Z3782">
        <f>TRIM(A3782&amp;"")</f>
        <v/>
      </c>
      <c r="AA3782">
        <f>IF(Z3782="","",IF(MATCH(SUBSTITUTE(SUBSTITUTE(SUBSTITUTE(Z3782,"~","~~"),"*","~*"),"?","~?"),$Z$5:$Z$5004,0)=3778,MAX($AA$4:AA3781)+1,""))</f>
        <v/>
      </c>
    </row>
    <row r="3783" spans="1:27">
      <c r="A3783" s="9"/>
      <c r="Z3783">
        <f>TRIM(A3783&amp;"")</f>
        <v/>
      </c>
      <c r="AA3783">
        <f>IF(Z3783="","",IF(MATCH(SUBSTITUTE(SUBSTITUTE(SUBSTITUTE(Z3783,"~","~~"),"*","~*"),"?","~?"),$Z$5:$Z$5004,0)=3779,MAX($AA$4:AA3782)+1,""))</f>
        <v/>
      </c>
    </row>
    <row r="3784" spans="1:27">
      <c r="A3784" s="9"/>
      <c r="Z3784">
        <f>TRIM(A3784&amp;"")</f>
        <v/>
      </c>
      <c r="AA3784">
        <f>IF(Z3784="","",IF(MATCH(SUBSTITUTE(SUBSTITUTE(SUBSTITUTE(Z3784,"~","~~"),"*","~*"),"?","~?"),$Z$5:$Z$5004,0)=3780,MAX($AA$4:AA3783)+1,""))</f>
        <v/>
      </c>
    </row>
    <row r="3785" spans="1:27">
      <c r="A3785" s="9"/>
      <c r="Z3785">
        <f>TRIM(A3785&amp;"")</f>
        <v/>
      </c>
      <c r="AA3785">
        <f>IF(Z3785="","",IF(MATCH(SUBSTITUTE(SUBSTITUTE(SUBSTITUTE(Z3785,"~","~~"),"*","~*"),"?","~?"),$Z$5:$Z$5004,0)=3781,MAX($AA$4:AA3784)+1,""))</f>
        <v/>
      </c>
    </row>
    <row r="3786" spans="1:27">
      <c r="A3786" s="9"/>
      <c r="Z3786">
        <f>TRIM(A3786&amp;"")</f>
        <v/>
      </c>
      <c r="AA3786">
        <f>IF(Z3786="","",IF(MATCH(SUBSTITUTE(SUBSTITUTE(SUBSTITUTE(Z3786,"~","~~"),"*","~*"),"?","~?"),$Z$5:$Z$5004,0)=3782,MAX($AA$4:AA3785)+1,""))</f>
        <v/>
      </c>
    </row>
    <row r="3787" spans="1:27">
      <c r="A3787" s="9"/>
      <c r="Z3787">
        <f>TRIM(A3787&amp;"")</f>
        <v/>
      </c>
      <c r="AA3787">
        <f>IF(Z3787="","",IF(MATCH(SUBSTITUTE(SUBSTITUTE(SUBSTITUTE(Z3787,"~","~~"),"*","~*"),"?","~?"),$Z$5:$Z$5004,0)=3783,MAX($AA$4:AA3786)+1,""))</f>
        <v/>
      </c>
    </row>
    <row r="3788" spans="1:27">
      <c r="A3788" s="9"/>
      <c r="Z3788">
        <f>TRIM(A3788&amp;"")</f>
        <v/>
      </c>
      <c r="AA3788">
        <f>IF(Z3788="","",IF(MATCH(SUBSTITUTE(SUBSTITUTE(SUBSTITUTE(Z3788,"~","~~"),"*","~*"),"?","~?"),$Z$5:$Z$5004,0)=3784,MAX($AA$4:AA3787)+1,""))</f>
        <v/>
      </c>
    </row>
    <row r="3789" spans="1:27">
      <c r="A3789" s="9"/>
      <c r="Z3789">
        <f>TRIM(A3789&amp;"")</f>
        <v/>
      </c>
      <c r="AA3789">
        <f>IF(Z3789="","",IF(MATCH(SUBSTITUTE(SUBSTITUTE(SUBSTITUTE(Z3789,"~","~~"),"*","~*"),"?","~?"),$Z$5:$Z$5004,0)=3785,MAX($AA$4:AA3788)+1,""))</f>
        <v/>
      </c>
    </row>
    <row r="3790" spans="1:27">
      <c r="A3790" s="9"/>
      <c r="Z3790">
        <f>TRIM(A3790&amp;"")</f>
        <v/>
      </c>
      <c r="AA3790">
        <f>IF(Z3790="","",IF(MATCH(SUBSTITUTE(SUBSTITUTE(SUBSTITUTE(Z3790,"~","~~"),"*","~*"),"?","~?"),$Z$5:$Z$5004,0)=3786,MAX($AA$4:AA3789)+1,""))</f>
        <v/>
      </c>
    </row>
    <row r="3791" spans="1:27">
      <c r="A3791" s="9"/>
      <c r="Z3791">
        <f>TRIM(A3791&amp;"")</f>
        <v/>
      </c>
      <c r="AA3791">
        <f>IF(Z3791="","",IF(MATCH(SUBSTITUTE(SUBSTITUTE(SUBSTITUTE(Z3791,"~","~~"),"*","~*"),"?","~?"),$Z$5:$Z$5004,0)=3787,MAX($AA$4:AA3790)+1,""))</f>
        <v/>
      </c>
    </row>
    <row r="3792" spans="1:27">
      <c r="A3792" s="9"/>
      <c r="Z3792">
        <f>TRIM(A3792&amp;"")</f>
        <v/>
      </c>
      <c r="AA3792">
        <f>IF(Z3792="","",IF(MATCH(SUBSTITUTE(SUBSTITUTE(SUBSTITUTE(Z3792,"~","~~"),"*","~*"),"?","~?"),$Z$5:$Z$5004,0)=3788,MAX($AA$4:AA3791)+1,""))</f>
        <v/>
      </c>
    </row>
    <row r="3793" spans="1:27">
      <c r="A3793" s="9"/>
      <c r="Z3793">
        <f>TRIM(A3793&amp;"")</f>
        <v/>
      </c>
      <c r="AA3793">
        <f>IF(Z3793="","",IF(MATCH(SUBSTITUTE(SUBSTITUTE(SUBSTITUTE(Z3793,"~","~~"),"*","~*"),"?","~?"),$Z$5:$Z$5004,0)=3789,MAX($AA$4:AA3792)+1,""))</f>
        <v/>
      </c>
    </row>
    <row r="3794" spans="1:27">
      <c r="A3794" s="9"/>
      <c r="Z3794">
        <f>TRIM(A3794&amp;"")</f>
        <v/>
      </c>
      <c r="AA3794">
        <f>IF(Z3794="","",IF(MATCH(SUBSTITUTE(SUBSTITUTE(SUBSTITUTE(Z3794,"~","~~"),"*","~*"),"?","~?"),$Z$5:$Z$5004,0)=3790,MAX($AA$4:AA3793)+1,""))</f>
        <v/>
      </c>
    </row>
    <row r="3795" spans="1:27">
      <c r="A3795" s="9"/>
      <c r="Z3795">
        <f>TRIM(A3795&amp;"")</f>
        <v/>
      </c>
      <c r="AA3795">
        <f>IF(Z3795="","",IF(MATCH(SUBSTITUTE(SUBSTITUTE(SUBSTITUTE(Z3795,"~","~~"),"*","~*"),"?","~?"),$Z$5:$Z$5004,0)=3791,MAX($AA$4:AA3794)+1,""))</f>
        <v/>
      </c>
    </row>
    <row r="3796" spans="1:27">
      <c r="A3796" s="9"/>
      <c r="Z3796">
        <f>TRIM(A3796&amp;"")</f>
        <v/>
      </c>
      <c r="AA3796">
        <f>IF(Z3796="","",IF(MATCH(SUBSTITUTE(SUBSTITUTE(SUBSTITUTE(Z3796,"~","~~"),"*","~*"),"?","~?"),$Z$5:$Z$5004,0)=3792,MAX($AA$4:AA3795)+1,""))</f>
        <v/>
      </c>
    </row>
    <row r="3797" spans="1:27">
      <c r="A3797" s="9"/>
      <c r="Z3797">
        <f>TRIM(A3797&amp;"")</f>
        <v/>
      </c>
      <c r="AA3797">
        <f>IF(Z3797="","",IF(MATCH(SUBSTITUTE(SUBSTITUTE(SUBSTITUTE(Z3797,"~","~~"),"*","~*"),"?","~?"),$Z$5:$Z$5004,0)=3793,MAX($AA$4:AA3796)+1,""))</f>
        <v/>
      </c>
    </row>
    <row r="3798" spans="1:27">
      <c r="A3798" s="9"/>
      <c r="Z3798">
        <f>TRIM(A3798&amp;"")</f>
        <v/>
      </c>
      <c r="AA3798">
        <f>IF(Z3798="","",IF(MATCH(SUBSTITUTE(SUBSTITUTE(SUBSTITUTE(Z3798,"~","~~"),"*","~*"),"?","~?"),$Z$5:$Z$5004,0)=3794,MAX($AA$4:AA3797)+1,""))</f>
        <v/>
      </c>
    </row>
    <row r="3799" spans="1:27">
      <c r="A3799" s="9"/>
      <c r="Z3799">
        <f>TRIM(A3799&amp;"")</f>
        <v/>
      </c>
      <c r="AA3799">
        <f>IF(Z3799="","",IF(MATCH(SUBSTITUTE(SUBSTITUTE(SUBSTITUTE(Z3799,"~","~~"),"*","~*"),"?","~?"),$Z$5:$Z$5004,0)=3795,MAX($AA$4:AA3798)+1,""))</f>
        <v/>
      </c>
    </row>
    <row r="3800" spans="1:27">
      <c r="A3800" s="9"/>
      <c r="Z3800">
        <f>TRIM(A3800&amp;"")</f>
        <v/>
      </c>
      <c r="AA3800">
        <f>IF(Z3800="","",IF(MATCH(SUBSTITUTE(SUBSTITUTE(SUBSTITUTE(Z3800,"~","~~"),"*","~*"),"?","~?"),$Z$5:$Z$5004,0)=3796,MAX($AA$4:AA3799)+1,""))</f>
        <v/>
      </c>
    </row>
    <row r="3801" spans="1:27">
      <c r="A3801" s="9"/>
      <c r="Z3801">
        <f>TRIM(A3801&amp;"")</f>
        <v/>
      </c>
      <c r="AA3801">
        <f>IF(Z3801="","",IF(MATCH(SUBSTITUTE(SUBSTITUTE(SUBSTITUTE(Z3801,"~","~~"),"*","~*"),"?","~?"),$Z$5:$Z$5004,0)=3797,MAX($AA$4:AA3800)+1,""))</f>
        <v/>
      </c>
    </row>
    <row r="3802" spans="1:27">
      <c r="A3802" s="9"/>
      <c r="Z3802">
        <f>TRIM(A3802&amp;"")</f>
        <v/>
      </c>
      <c r="AA3802">
        <f>IF(Z3802="","",IF(MATCH(SUBSTITUTE(SUBSTITUTE(SUBSTITUTE(Z3802,"~","~~"),"*","~*"),"?","~?"),$Z$5:$Z$5004,0)=3798,MAX($AA$4:AA3801)+1,""))</f>
        <v/>
      </c>
    </row>
    <row r="3803" spans="1:27">
      <c r="A3803" s="9"/>
      <c r="Z3803">
        <f>TRIM(A3803&amp;"")</f>
        <v/>
      </c>
      <c r="AA3803">
        <f>IF(Z3803="","",IF(MATCH(SUBSTITUTE(SUBSTITUTE(SUBSTITUTE(Z3803,"~","~~"),"*","~*"),"?","~?"),$Z$5:$Z$5004,0)=3799,MAX($AA$4:AA3802)+1,""))</f>
        <v/>
      </c>
    </row>
    <row r="3804" spans="1:27">
      <c r="A3804" s="9"/>
      <c r="Z3804">
        <f>TRIM(A3804&amp;"")</f>
        <v/>
      </c>
      <c r="AA3804">
        <f>IF(Z3804="","",IF(MATCH(SUBSTITUTE(SUBSTITUTE(SUBSTITUTE(Z3804,"~","~~"),"*","~*"),"?","~?"),$Z$5:$Z$5004,0)=3800,MAX($AA$4:AA3803)+1,""))</f>
        <v/>
      </c>
    </row>
    <row r="3805" spans="1:27">
      <c r="A3805" s="9"/>
      <c r="Z3805">
        <f>TRIM(A3805&amp;"")</f>
        <v/>
      </c>
      <c r="AA3805">
        <f>IF(Z3805="","",IF(MATCH(SUBSTITUTE(SUBSTITUTE(SUBSTITUTE(Z3805,"~","~~"),"*","~*"),"?","~?"),$Z$5:$Z$5004,0)=3801,MAX($AA$4:AA3804)+1,""))</f>
        <v/>
      </c>
    </row>
    <row r="3806" spans="1:27">
      <c r="A3806" s="9"/>
      <c r="Z3806">
        <f>TRIM(A3806&amp;"")</f>
        <v/>
      </c>
      <c r="AA3806">
        <f>IF(Z3806="","",IF(MATCH(SUBSTITUTE(SUBSTITUTE(SUBSTITUTE(Z3806,"~","~~"),"*","~*"),"?","~?"),$Z$5:$Z$5004,0)=3802,MAX($AA$4:AA3805)+1,""))</f>
        <v/>
      </c>
    </row>
    <row r="3807" spans="1:27">
      <c r="A3807" s="9"/>
      <c r="Z3807">
        <f>TRIM(A3807&amp;"")</f>
        <v/>
      </c>
      <c r="AA3807">
        <f>IF(Z3807="","",IF(MATCH(SUBSTITUTE(SUBSTITUTE(SUBSTITUTE(Z3807,"~","~~"),"*","~*"),"?","~?"),$Z$5:$Z$5004,0)=3803,MAX($AA$4:AA3806)+1,""))</f>
        <v/>
      </c>
    </row>
    <row r="3808" spans="1:27">
      <c r="A3808" s="9"/>
      <c r="Z3808">
        <f>TRIM(A3808&amp;"")</f>
        <v/>
      </c>
      <c r="AA3808">
        <f>IF(Z3808="","",IF(MATCH(SUBSTITUTE(SUBSTITUTE(SUBSTITUTE(Z3808,"~","~~"),"*","~*"),"?","~?"),$Z$5:$Z$5004,0)=3804,MAX($AA$4:AA3807)+1,""))</f>
        <v/>
      </c>
    </row>
    <row r="3809" spans="1:27">
      <c r="A3809" s="9"/>
      <c r="Z3809">
        <f>TRIM(A3809&amp;"")</f>
        <v/>
      </c>
      <c r="AA3809">
        <f>IF(Z3809="","",IF(MATCH(SUBSTITUTE(SUBSTITUTE(SUBSTITUTE(Z3809,"~","~~"),"*","~*"),"?","~?"),$Z$5:$Z$5004,0)=3805,MAX($AA$4:AA3808)+1,""))</f>
        <v/>
      </c>
    </row>
    <row r="3810" spans="1:27">
      <c r="A3810" s="9"/>
      <c r="Z3810">
        <f>TRIM(A3810&amp;"")</f>
        <v/>
      </c>
      <c r="AA3810">
        <f>IF(Z3810="","",IF(MATCH(SUBSTITUTE(SUBSTITUTE(SUBSTITUTE(Z3810,"~","~~"),"*","~*"),"?","~?"),$Z$5:$Z$5004,0)=3806,MAX($AA$4:AA3809)+1,""))</f>
        <v/>
      </c>
    </row>
    <row r="3811" spans="1:27">
      <c r="A3811" s="9"/>
      <c r="Z3811">
        <f>TRIM(A3811&amp;"")</f>
        <v/>
      </c>
      <c r="AA3811">
        <f>IF(Z3811="","",IF(MATCH(SUBSTITUTE(SUBSTITUTE(SUBSTITUTE(Z3811,"~","~~"),"*","~*"),"?","~?"),$Z$5:$Z$5004,0)=3807,MAX($AA$4:AA3810)+1,""))</f>
        <v/>
      </c>
    </row>
    <row r="3812" spans="1:27">
      <c r="A3812" s="9"/>
      <c r="Z3812">
        <f>TRIM(A3812&amp;"")</f>
        <v/>
      </c>
      <c r="AA3812">
        <f>IF(Z3812="","",IF(MATCH(SUBSTITUTE(SUBSTITUTE(SUBSTITUTE(Z3812,"~","~~"),"*","~*"),"?","~?"),$Z$5:$Z$5004,0)=3808,MAX($AA$4:AA3811)+1,""))</f>
        <v/>
      </c>
    </row>
    <row r="3813" spans="1:27">
      <c r="A3813" s="9"/>
      <c r="Z3813">
        <f>TRIM(A3813&amp;"")</f>
        <v/>
      </c>
      <c r="AA3813">
        <f>IF(Z3813="","",IF(MATCH(SUBSTITUTE(SUBSTITUTE(SUBSTITUTE(Z3813,"~","~~"),"*","~*"),"?","~?"),$Z$5:$Z$5004,0)=3809,MAX($AA$4:AA3812)+1,""))</f>
        <v/>
      </c>
    </row>
    <row r="3814" spans="1:27">
      <c r="A3814" s="9"/>
      <c r="Z3814">
        <f>TRIM(A3814&amp;"")</f>
        <v/>
      </c>
      <c r="AA3814">
        <f>IF(Z3814="","",IF(MATCH(SUBSTITUTE(SUBSTITUTE(SUBSTITUTE(Z3814,"~","~~"),"*","~*"),"?","~?"),$Z$5:$Z$5004,0)=3810,MAX($AA$4:AA3813)+1,""))</f>
        <v/>
      </c>
    </row>
    <row r="3815" spans="1:27">
      <c r="A3815" s="9"/>
      <c r="Z3815">
        <f>TRIM(A3815&amp;"")</f>
        <v/>
      </c>
      <c r="AA3815">
        <f>IF(Z3815="","",IF(MATCH(SUBSTITUTE(SUBSTITUTE(SUBSTITUTE(Z3815,"~","~~"),"*","~*"),"?","~?"),$Z$5:$Z$5004,0)=3811,MAX($AA$4:AA3814)+1,""))</f>
        <v/>
      </c>
    </row>
    <row r="3816" spans="1:27">
      <c r="A3816" s="9"/>
      <c r="Z3816">
        <f>TRIM(A3816&amp;"")</f>
        <v/>
      </c>
      <c r="AA3816">
        <f>IF(Z3816="","",IF(MATCH(SUBSTITUTE(SUBSTITUTE(SUBSTITUTE(Z3816,"~","~~"),"*","~*"),"?","~?"),$Z$5:$Z$5004,0)=3812,MAX($AA$4:AA3815)+1,""))</f>
        <v/>
      </c>
    </row>
    <row r="3817" spans="1:27">
      <c r="A3817" s="9"/>
      <c r="Z3817">
        <f>TRIM(A3817&amp;"")</f>
        <v/>
      </c>
      <c r="AA3817">
        <f>IF(Z3817="","",IF(MATCH(SUBSTITUTE(SUBSTITUTE(SUBSTITUTE(Z3817,"~","~~"),"*","~*"),"?","~?"),$Z$5:$Z$5004,0)=3813,MAX($AA$4:AA3816)+1,""))</f>
        <v/>
      </c>
    </row>
    <row r="3818" spans="1:27">
      <c r="A3818" s="9"/>
      <c r="Z3818">
        <f>TRIM(A3818&amp;"")</f>
        <v/>
      </c>
      <c r="AA3818">
        <f>IF(Z3818="","",IF(MATCH(SUBSTITUTE(SUBSTITUTE(SUBSTITUTE(Z3818,"~","~~"),"*","~*"),"?","~?"),$Z$5:$Z$5004,0)=3814,MAX($AA$4:AA3817)+1,""))</f>
        <v/>
      </c>
    </row>
    <row r="3819" spans="1:27">
      <c r="A3819" s="9"/>
      <c r="Z3819">
        <f>TRIM(A3819&amp;"")</f>
        <v/>
      </c>
      <c r="AA3819">
        <f>IF(Z3819="","",IF(MATCH(SUBSTITUTE(SUBSTITUTE(SUBSTITUTE(Z3819,"~","~~"),"*","~*"),"?","~?"),$Z$5:$Z$5004,0)=3815,MAX($AA$4:AA3818)+1,""))</f>
        <v/>
      </c>
    </row>
    <row r="3820" spans="1:27">
      <c r="A3820" s="9"/>
      <c r="Z3820">
        <f>TRIM(A3820&amp;"")</f>
        <v/>
      </c>
      <c r="AA3820">
        <f>IF(Z3820="","",IF(MATCH(SUBSTITUTE(SUBSTITUTE(SUBSTITUTE(Z3820,"~","~~"),"*","~*"),"?","~?"),$Z$5:$Z$5004,0)=3816,MAX($AA$4:AA3819)+1,""))</f>
        <v/>
      </c>
    </row>
    <row r="3821" spans="1:27">
      <c r="A3821" s="9"/>
      <c r="Z3821">
        <f>TRIM(A3821&amp;"")</f>
        <v/>
      </c>
      <c r="AA3821">
        <f>IF(Z3821="","",IF(MATCH(SUBSTITUTE(SUBSTITUTE(SUBSTITUTE(Z3821,"~","~~"),"*","~*"),"?","~?"),$Z$5:$Z$5004,0)=3817,MAX($AA$4:AA3820)+1,""))</f>
        <v/>
      </c>
    </row>
    <row r="3822" spans="1:27">
      <c r="A3822" s="9"/>
      <c r="Z3822">
        <f>TRIM(A3822&amp;"")</f>
        <v/>
      </c>
      <c r="AA3822">
        <f>IF(Z3822="","",IF(MATCH(SUBSTITUTE(SUBSTITUTE(SUBSTITUTE(Z3822,"~","~~"),"*","~*"),"?","~?"),$Z$5:$Z$5004,0)=3818,MAX($AA$4:AA3821)+1,""))</f>
        <v/>
      </c>
    </row>
    <row r="3823" spans="1:27">
      <c r="A3823" s="9"/>
      <c r="Z3823">
        <f>TRIM(A3823&amp;"")</f>
        <v/>
      </c>
      <c r="AA3823">
        <f>IF(Z3823="","",IF(MATCH(SUBSTITUTE(SUBSTITUTE(SUBSTITUTE(Z3823,"~","~~"),"*","~*"),"?","~?"),$Z$5:$Z$5004,0)=3819,MAX($AA$4:AA3822)+1,""))</f>
        <v/>
      </c>
    </row>
    <row r="3824" spans="1:27">
      <c r="A3824" s="9"/>
      <c r="Z3824">
        <f>TRIM(A3824&amp;"")</f>
        <v/>
      </c>
      <c r="AA3824">
        <f>IF(Z3824="","",IF(MATCH(SUBSTITUTE(SUBSTITUTE(SUBSTITUTE(Z3824,"~","~~"),"*","~*"),"?","~?"),$Z$5:$Z$5004,0)=3820,MAX($AA$4:AA3823)+1,""))</f>
        <v/>
      </c>
    </row>
    <row r="3825" spans="1:27">
      <c r="A3825" s="9"/>
      <c r="Z3825">
        <f>TRIM(A3825&amp;"")</f>
        <v/>
      </c>
      <c r="AA3825">
        <f>IF(Z3825="","",IF(MATCH(SUBSTITUTE(SUBSTITUTE(SUBSTITUTE(Z3825,"~","~~"),"*","~*"),"?","~?"),$Z$5:$Z$5004,0)=3821,MAX($AA$4:AA3824)+1,""))</f>
        <v/>
      </c>
    </row>
    <row r="3826" spans="1:27">
      <c r="A3826" s="9"/>
      <c r="Z3826">
        <f>TRIM(A3826&amp;"")</f>
        <v/>
      </c>
      <c r="AA3826">
        <f>IF(Z3826="","",IF(MATCH(SUBSTITUTE(SUBSTITUTE(SUBSTITUTE(Z3826,"~","~~"),"*","~*"),"?","~?"),$Z$5:$Z$5004,0)=3822,MAX($AA$4:AA3825)+1,""))</f>
        <v/>
      </c>
    </row>
    <row r="3827" spans="1:27">
      <c r="A3827" s="9"/>
      <c r="Z3827">
        <f>TRIM(A3827&amp;"")</f>
        <v/>
      </c>
      <c r="AA3827">
        <f>IF(Z3827="","",IF(MATCH(SUBSTITUTE(SUBSTITUTE(SUBSTITUTE(Z3827,"~","~~"),"*","~*"),"?","~?"),$Z$5:$Z$5004,0)=3823,MAX($AA$4:AA3826)+1,""))</f>
        <v/>
      </c>
    </row>
    <row r="3828" spans="1:27">
      <c r="A3828" s="9"/>
      <c r="Z3828">
        <f>TRIM(A3828&amp;"")</f>
        <v/>
      </c>
      <c r="AA3828">
        <f>IF(Z3828="","",IF(MATCH(SUBSTITUTE(SUBSTITUTE(SUBSTITUTE(Z3828,"~","~~"),"*","~*"),"?","~?"),$Z$5:$Z$5004,0)=3824,MAX($AA$4:AA3827)+1,""))</f>
        <v/>
      </c>
    </row>
    <row r="3829" spans="1:27">
      <c r="A3829" s="9"/>
      <c r="Z3829">
        <f>TRIM(A3829&amp;"")</f>
        <v/>
      </c>
      <c r="AA3829">
        <f>IF(Z3829="","",IF(MATCH(SUBSTITUTE(SUBSTITUTE(SUBSTITUTE(Z3829,"~","~~"),"*","~*"),"?","~?"),$Z$5:$Z$5004,0)=3825,MAX($AA$4:AA3828)+1,""))</f>
        <v/>
      </c>
    </row>
    <row r="3830" spans="1:27">
      <c r="A3830" s="9"/>
      <c r="Z3830">
        <f>TRIM(A3830&amp;"")</f>
        <v/>
      </c>
      <c r="AA3830">
        <f>IF(Z3830="","",IF(MATCH(SUBSTITUTE(SUBSTITUTE(SUBSTITUTE(Z3830,"~","~~"),"*","~*"),"?","~?"),$Z$5:$Z$5004,0)=3826,MAX($AA$4:AA3829)+1,""))</f>
        <v/>
      </c>
    </row>
    <row r="3831" spans="1:27">
      <c r="A3831" s="9"/>
      <c r="Z3831">
        <f>TRIM(A3831&amp;"")</f>
        <v/>
      </c>
      <c r="AA3831">
        <f>IF(Z3831="","",IF(MATCH(SUBSTITUTE(SUBSTITUTE(SUBSTITUTE(Z3831,"~","~~"),"*","~*"),"?","~?"),$Z$5:$Z$5004,0)=3827,MAX($AA$4:AA3830)+1,""))</f>
        <v/>
      </c>
    </row>
    <row r="3832" spans="1:27">
      <c r="A3832" s="9"/>
      <c r="Z3832">
        <f>TRIM(A3832&amp;"")</f>
        <v/>
      </c>
      <c r="AA3832">
        <f>IF(Z3832="","",IF(MATCH(SUBSTITUTE(SUBSTITUTE(SUBSTITUTE(Z3832,"~","~~"),"*","~*"),"?","~?"),$Z$5:$Z$5004,0)=3828,MAX($AA$4:AA3831)+1,""))</f>
        <v/>
      </c>
    </row>
    <row r="3833" spans="1:27">
      <c r="A3833" s="9"/>
      <c r="Z3833">
        <f>TRIM(A3833&amp;"")</f>
        <v/>
      </c>
      <c r="AA3833">
        <f>IF(Z3833="","",IF(MATCH(SUBSTITUTE(SUBSTITUTE(SUBSTITUTE(Z3833,"~","~~"),"*","~*"),"?","~?"),$Z$5:$Z$5004,0)=3829,MAX($AA$4:AA3832)+1,""))</f>
        <v/>
      </c>
    </row>
    <row r="3834" spans="1:27">
      <c r="A3834" s="9"/>
      <c r="Z3834">
        <f>TRIM(A3834&amp;"")</f>
        <v/>
      </c>
      <c r="AA3834">
        <f>IF(Z3834="","",IF(MATCH(SUBSTITUTE(SUBSTITUTE(SUBSTITUTE(Z3834,"~","~~"),"*","~*"),"?","~?"),$Z$5:$Z$5004,0)=3830,MAX($AA$4:AA3833)+1,""))</f>
        <v/>
      </c>
    </row>
    <row r="3835" spans="1:27">
      <c r="A3835" s="9"/>
      <c r="Z3835">
        <f>TRIM(A3835&amp;"")</f>
        <v/>
      </c>
      <c r="AA3835">
        <f>IF(Z3835="","",IF(MATCH(SUBSTITUTE(SUBSTITUTE(SUBSTITUTE(Z3835,"~","~~"),"*","~*"),"?","~?"),$Z$5:$Z$5004,0)=3831,MAX($AA$4:AA3834)+1,""))</f>
        <v/>
      </c>
    </row>
    <row r="3836" spans="1:27">
      <c r="A3836" s="9"/>
      <c r="Z3836">
        <f>TRIM(A3836&amp;"")</f>
        <v/>
      </c>
      <c r="AA3836">
        <f>IF(Z3836="","",IF(MATCH(SUBSTITUTE(SUBSTITUTE(SUBSTITUTE(Z3836,"~","~~"),"*","~*"),"?","~?"),$Z$5:$Z$5004,0)=3832,MAX($AA$4:AA3835)+1,""))</f>
        <v/>
      </c>
    </row>
    <row r="3837" spans="1:27">
      <c r="A3837" s="9"/>
      <c r="Z3837">
        <f>TRIM(A3837&amp;"")</f>
        <v/>
      </c>
      <c r="AA3837">
        <f>IF(Z3837="","",IF(MATCH(SUBSTITUTE(SUBSTITUTE(SUBSTITUTE(Z3837,"~","~~"),"*","~*"),"?","~?"),$Z$5:$Z$5004,0)=3833,MAX($AA$4:AA3836)+1,""))</f>
        <v/>
      </c>
    </row>
    <row r="3838" spans="1:27">
      <c r="A3838" s="9"/>
      <c r="Z3838">
        <f>TRIM(A3838&amp;"")</f>
        <v/>
      </c>
      <c r="AA3838">
        <f>IF(Z3838="","",IF(MATCH(SUBSTITUTE(SUBSTITUTE(SUBSTITUTE(Z3838,"~","~~"),"*","~*"),"?","~?"),$Z$5:$Z$5004,0)=3834,MAX($AA$4:AA3837)+1,""))</f>
        <v/>
      </c>
    </row>
    <row r="3839" spans="1:27">
      <c r="A3839" s="9"/>
      <c r="Z3839">
        <f>TRIM(A3839&amp;"")</f>
        <v/>
      </c>
      <c r="AA3839">
        <f>IF(Z3839="","",IF(MATCH(SUBSTITUTE(SUBSTITUTE(SUBSTITUTE(Z3839,"~","~~"),"*","~*"),"?","~?"),$Z$5:$Z$5004,0)=3835,MAX($AA$4:AA3838)+1,""))</f>
        <v/>
      </c>
    </row>
    <row r="3840" spans="1:27">
      <c r="A3840" s="9"/>
      <c r="Z3840">
        <f>TRIM(A3840&amp;"")</f>
        <v/>
      </c>
      <c r="AA3840">
        <f>IF(Z3840="","",IF(MATCH(SUBSTITUTE(SUBSTITUTE(SUBSTITUTE(Z3840,"~","~~"),"*","~*"),"?","~?"),$Z$5:$Z$5004,0)=3836,MAX($AA$4:AA3839)+1,""))</f>
        <v/>
      </c>
    </row>
    <row r="3841" spans="1:27">
      <c r="A3841" s="9"/>
      <c r="Z3841">
        <f>TRIM(A3841&amp;"")</f>
        <v/>
      </c>
      <c r="AA3841">
        <f>IF(Z3841="","",IF(MATCH(SUBSTITUTE(SUBSTITUTE(SUBSTITUTE(Z3841,"~","~~"),"*","~*"),"?","~?"),$Z$5:$Z$5004,0)=3837,MAX($AA$4:AA3840)+1,""))</f>
        <v/>
      </c>
    </row>
    <row r="3842" spans="1:27">
      <c r="A3842" s="9"/>
      <c r="Z3842">
        <f>TRIM(A3842&amp;"")</f>
        <v/>
      </c>
      <c r="AA3842">
        <f>IF(Z3842="","",IF(MATCH(SUBSTITUTE(SUBSTITUTE(SUBSTITUTE(Z3842,"~","~~"),"*","~*"),"?","~?"),$Z$5:$Z$5004,0)=3838,MAX($AA$4:AA3841)+1,""))</f>
        <v/>
      </c>
    </row>
    <row r="3843" spans="1:27">
      <c r="A3843" s="9"/>
      <c r="Z3843">
        <f>TRIM(A3843&amp;"")</f>
        <v/>
      </c>
      <c r="AA3843">
        <f>IF(Z3843="","",IF(MATCH(SUBSTITUTE(SUBSTITUTE(SUBSTITUTE(Z3843,"~","~~"),"*","~*"),"?","~?"),$Z$5:$Z$5004,0)=3839,MAX($AA$4:AA3842)+1,""))</f>
        <v/>
      </c>
    </row>
    <row r="3844" spans="1:27">
      <c r="A3844" s="9"/>
      <c r="Z3844">
        <f>TRIM(A3844&amp;"")</f>
        <v/>
      </c>
      <c r="AA3844">
        <f>IF(Z3844="","",IF(MATCH(SUBSTITUTE(SUBSTITUTE(SUBSTITUTE(Z3844,"~","~~"),"*","~*"),"?","~?"),$Z$5:$Z$5004,0)=3840,MAX($AA$4:AA3843)+1,""))</f>
        <v/>
      </c>
    </row>
    <row r="3845" spans="1:27">
      <c r="A3845" s="9"/>
      <c r="Z3845">
        <f>TRIM(A3845&amp;"")</f>
        <v/>
      </c>
      <c r="AA3845">
        <f>IF(Z3845="","",IF(MATCH(SUBSTITUTE(SUBSTITUTE(SUBSTITUTE(Z3845,"~","~~"),"*","~*"),"?","~?"),$Z$5:$Z$5004,0)=3841,MAX($AA$4:AA3844)+1,""))</f>
        <v/>
      </c>
    </row>
    <row r="3846" spans="1:27">
      <c r="A3846" s="9"/>
      <c r="Z3846">
        <f>TRIM(A3846&amp;"")</f>
        <v/>
      </c>
      <c r="AA3846">
        <f>IF(Z3846="","",IF(MATCH(SUBSTITUTE(SUBSTITUTE(SUBSTITUTE(Z3846,"~","~~"),"*","~*"),"?","~?"),$Z$5:$Z$5004,0)=3842,MAX($AA$4:AA3845)+1,""))</f>
        <v/>
      </c>
    </row>
    <row r="3847" spans="1:27">
      <c r="A3847" s="9"/>
      <c r="Z3847">
        <f>TRIM(A3847&amp;"")</f>
        <v/>
      </c>
      <c r="AA3847">
        <f>IF(Z3847="","",IF(MATCH(SUBSTITUTE(SUBSTITUTE(SUBSTITUTE(Z3847,"~","~~"),"*","~*"),"?","~?"),$Z$5:$Z$5004,0)=3843,MAX($AA$4:AA3846)+1,""))</f>
        <v/>
      </c>
    </row>
    <row r="3848" spans="1:27">
      <c r="A3848" s="9"/>
      <c r="Z3848">
        <f>TRIM(A3848&amp;"")</f>
        <v/>
      </c>
      <c r="AA3848">
        <f>IF(Z3848="","",IF(MATCH(SUBSTITUTE(SUBSTITUTE(SUBSTITUTE(Z3848,"~","~~"),"*","~*"),"?","~?"),$Z$5:$Z$5004,0)=3844,MAX($AA$4:AA3847)+1,""))</f>
        <v/>
      </c>
    </row>
    <row r="3849" spans="1:27">
      <c r="A3849" s="9"/>
      <c r="Z3849">
        <f>TRIM(A3849&amp;"")</f>
        <v/>
      </c>
      <c r="AA3849">
        <f>IF(Z3849="","",IF(MATCH(SUBSTITUTE(SUBSTITUTE(SUBSTITUTE(Z3849,"~","~~"),"*","~*"),"?","~?"),$Z$5:$Z$5004,0)=3845,MAX($AA$4:AA3848)+1,""))</f>
        <v/>
      </c>
    </row>
    <row r="3850" spans="1:27">
      <c r="A3850" s="9"/>
      <c r="Z3850">
        <f>TRIM(A3850&amp;"")</f>
        <v/>
      </c>
      <c r="AA3850">
        <f>IF(Z3850="","",IF(MATCH(SUBSTITUTE(SUBSTITUTE(SUBSTITUTE(Z3850,"~","~~"),"*","~*"),"?","~?"),$Z$5:$Z$5004,0)=3846,MAX($AA$4:AA3849)+1,""))</f>
        <v/>
      </c>
    </row>
    <row r="3851" spans="1:27">
      <c r="A3851" s="9"/>
      <c r="Z3851">
        <f>TRIM(A3851&amp;"")</f>
        <v/>
      </c>
      <c r="AA3851">
        <f>IF(Z3851="","",IF(MATCH(SUBSTITUTE(SUBSTITUTE(SUBSTITUTE(Z3851,"~","~~"),"*","~*"),"?","~?"),$Z$5:$Z$5004,0)=3847,MAX($AA$4:AA3850)+1,""))</f>
        <v/>
      </c>
    </row>
    <row r="3852" spans="1:27">
      <c r="A3852" s="9"/>
      <c r="Z3852">
        <f>TRIM(A3852&amp;"")</f>
        <v/>
      </c>
      <c r="AA3852">
        <f>IF(Z3852="","",IF(MATCH(SUBSTITUTE(SUBSTITUTE(SUBSTITUTE(Z3852,"~","~~"),"*","~*"),"?","~?"),$Z$5:$Z$5004,0)=3848,MAX($AA$4:AA3851)+1,""))</f>
        <v/>
      </c>
    </row>
    <row r="3853" spans="1:27">
      <c r="A3853" s="9"/>
      <c r="Z3853">
        <f>TRIM(A3853&amp;"")</f>
        <v/>
      </c>
      <c r="AA3853">
        <f>IF(Z3853="","",IF(MATCH(SUBSTITUTE(SUBSTITUTE(SUBSTITUTE(Z3853,"~","~~"),"*","~*"),"?","~?"),$Z$5:$Z$5004,0)=3849,MAX($AA$4:AA3852)+1,""))</f>
        <v/>
      </c>
    </row>
    <row r="3854" spans="1:27">
      <c r="A3854" s="9"/>
      <c r="Z3854">
        <f>TRIM(A3854&amp;"")</f>
        <v/>
      </c>
      <c r="AA3854">
        <f>IF(Z3854="","",IF(MATCH(SUBSTITUTE(SUBSTITUTE(SUBSTITUTE(Z3854,"~","~~"),"*","~*"),"?","~?"),$Z$5:$Z$5004,0)=3850,MAX($AA$4:AA3853)+1,""))</f>
        <v/>
      </c>
    </row>
    <row r="3855" spans="1:27">
      <c r="A3855" s="9"/>
      <c r="Z3855">
        <f>TRIM(A3855&amp;"")</f>
        <v/>
      </c>
      <c r="AA3855">
        <f>IF(Z3855="","",IF(MATCH(SUBSTITUTE(SUBSTITUTE(SUBSTITUTE(Z3855,"~","~~"),"*","~*"),"?","~?"),$Z$5:$Z$5004,0)=3851,MAX($AA$4:AA3854)+1,""))</f>
        <v/>
      </c>
    </row>
    <row r="3856" spans="1:27">
      <c r="A3856" s="9"/>
      <c r="Z3856">
        <f>TRIM(A3856&amp;"")</f>
        <v/>
      </c>
      <c r="AA3856">
        <f>IF(Z3856="","",IF(MATCH(SUBSTITUTE(SUBSTITUTE(SUBSTITUTE(Z3856,"~","~~"),"*","~*"),"?","~?"),$Z$5:$Z$5004,0)=3852,MAX($AA$4:AA3855)+1,""))</f>
        <v/>
      </c>
    </row>
    <row r="3857" spans="1:27">
      <c r="A3857" s="9"/>
      <c r="Z3857">
        <f>TRIM(A3857&amp;"")</f>
        <v/>
      </c>
      <c r="AA3857">
        <f>IF(Z3857="","",IF(MATCH(SUBSTITUTE(SUBSTITUTE(SUBSTITUTE(Z3857,"~","~~"),"*","~*"),"?","~?"),$Z$5:$Z$5004,0)=3853,MAX($AA$4:AA3856)+1,""))</f>
        <v/>
      </c>
    </row>
    <row r="3858" spans="1:27">
      <c r="A3858" s="9"/>
      <c r="Z3858">
        <f>TRIM(A3858&amp;"")</f>
        <v/>
      </c>
      <c r="AA3858">
        <f>IF(Z3858="","",IF(MATCH(SUBSTITUTE(SUBSTITUTE(SUBSTITUTE(Z3858,"~","~~"),"*","~*"),"?","~?"),$Z$5:$Z$5004,0)=3854,MAX($AA$4:AA3857)+1,""))</f>
        <v/>
      </c>
    </row>
    <row r="3859" spans="1:27">
      <c r="A3859" s="9"/>
      <c r="Z3859">
        <f>TRIM(A3859&amp;"")</f>
        <v/>
      </c>
      <c r="AA3859">
        <f>IF(Z3859="","",IF(MATCH(SUBSTITUTE(SUBSTITUTE(SUBSTITUTE(Z3859,"~","~~"),"*","~*"),"?","~?"),$Z$5:$Z$5004,0)=3855,MAX($AA$4:AA3858)+1,""))</f>
        <v/>
      </c>
    </row>
    <row r="3860" spans="1:27">
      <c r="A3860" s="9"/>
      <c r="Z3860">
        <f>TRIM(A3860&amp;"")</f>
        <v/>
      </c>
      <c r="AA3860">
        <f>IF(Z3860="","",IF(MATCH(SUBSTITUTE(SUBSTITUTE(SUBSTITUTE(Z3860,"~","~~"),"*","~*"),"?","~?"),$Z$5:$Z$5004,0)=3856,MAX($AA$4:AA3859)+1,""))</f>
        <v/>
      </c>
    </row>
    <row r="3861" spans="1:27">
      <c r="A3861" s="9"/>
      <c r="Z3861">
        <f>TRIM(A3861&amp;"")</f>
        <v/>
      </c>
      <c r="AA3861">
        <f>IF(Z3861="","",IF(MATCH(SUBSTITUTE(SUBSTITUTE(SUBSTITUTE(Z3861,"~","~~"),"*","~*"),"?","~?"),$Z$5:$Z$5004,0)=3857,MAX($AA$4:AA3860)+1,""))</f>
        <v/>
      </c>
    </row>
    <row r="3862" spans="1:27">
      <c r="A3862" s="9"/>
      <c r="Z3862">
        <f>TRIM(A3862&amp;"")</f>
        <v/>
      </c>
      <c r="AA3862">
        <f>IF(Z3862="","",IF(MATCH(SUBSTITUTE(SUBSTITUTE(SUBSTITUTE(Z3862,"~","~~"),"*","~*"),"?","~?"),$Z$5:$Z$5004,0)=3858,MAX($AA$4:AA3861)+1,""))</f>
        <v/>
      </c>
    </row>
    <row r="3863" spans="1:27">
      <c r="A3863" s="9"/>
      <c r="Z3863">
        <f>TRIM(A3863&amp;"")</f>
        <v/>
      </c>
      <c r="AA3863">
        <f>IF(Z3863="","",IF(MATCH(SUBSTITUTE(SUBSTITUTE(SUBSTITUTE(Z3863,"~","~~"),"*","~*"),"?","~?"),$Z$5:$Z$5004,0)=3859,MAX($AA$4:AA3862)+1,""))</f>
        <v/>
      </c>
    </row>
    <row r="3864" spans="1:27">
      <c r="A3864" s="9"/>
      <c r="Z3864">
        <f>TRIM(A3864&amp;"")</f>
        <v/>
      </c>
      <c r="AA3864">
        <f>IF(Z3864="","",IF(MATCH(SUBSTITUTE(SUBSTITUTE(SUBSTITUTE(Z3864,"~","~~"),"*","~*"),"?","~?"),$Z$5:$Z$5004,0)=3860,MAX($AA$4:AA3863)+1,""))</f>
        <v/>
      </c>
    </row>
    <row r="3865" spans="1:27">
      <c r="A3865" s="9"/>
      <c r="Z3865">
        <f>TRIM(A3865&amp;"")</f>
        <v/>
      </c>
      <c r="AA3865">
        <f>IF(Z3865="","",IF(MATCH(SUBSTITUTE(SUBSTITUTE(SUBSTITUTE(Z3865,"~","~~"),"*","~*"),"?","~?"),$Z$5:$Z$5004,0)=3861,MAX($AA$4:AA3864)+1,""))</f>
        <v/>
      </c>
    </row>
    <row r="3866" spans="1:27">
      <c r="A3866" s="9"/>
      <c r="Z3866">
        <f>TRIM(A3866&amp;"")</f>
        <v/>
      </c>
      <c r="AA3866">
        <f>IF(Z3866="","",IF(MATCH(SUBSTITUTE(SUBSTITUTE(SUBSTITUTE(Z3866,"~","~~"),"*","~*"),"?","~?"),$Z$5:$Z$5004,0)=3862,MAX($AA$4:AA3865)+1,""))</f>
        <v/>
      </c>
    </row>
    <row r="3867" spans="1:27">
      <c r="A3867" s="9"/>
      <c r="Z3867">
        <f>TRIM(A3867&amp;"")</f>
        <v/>
      </c>
      <c r="AA3867">
        <f>IF(Z3867="","",IF(MATCH(SUBSTITUTE(SUBSTITUTE(SUBSTITUTE(Z3867,"~","~~"),"*","~*"),"?","~?"),$Z$5:$Z$5004,0)=3863,MAX($AA$4:AA3866)+1,""))</f>
        <v/>
      </c>
    </row>
    <row r="3868" spans="1:27">
      <c r="A3868" s="9"/>
      <c r="Z3868">
        <f>TRIM(A3868&amp;"")</f>
        <v/>
      </c>
      <c r="AA3868">
        <f>IF(Z3868="","",IF(MATCH(SUBSTITUTE(SUBSTITUTE(SUBSTITUTE(Z3868,"~","~~"),"*","~*"),"?","~?"),$Z$5:$Z$5004,0)=3864,MAX($AA$4:AA3867)+1,""))</f>
        <v/>
      </c>
    </row>
    <row r="3869" spans="1:27">
      <c r="A3869" s="9"/>
      <c r="Z3869">
        <f>TRIM(A3869&amp;"")</f>
        <v/>
      </c>
      <c r="AA3869">
        <f>IF(Z3869="","",IF(MATCH(SUBSTITUTE(SUBSTITUTE(SUBSTITUTE(Z3869,"~","~~"),"*","~*"),"?","~?"),$Z$5:$Z$5004,0)=3865,MAX($AA$4:AA3868)+1,""))</f>
        <v/>
      </c>
    </row>
    <row r="3870" spans="1:27">
      <c r="A3870" s="9"/>
      <c r="Z3870">
        <f>TRIM(A3870&amp;"")</f>
        <v/>
      </c>
      <c r="AA3870">
        <f>IF(Z3870="","",IF(MATCH(SUBSTITUTE(SUBSTITUTE(SUBSTITUTE(Z3870,"~","~~"),"*","~*"),"?","~?"),$Z$5:$Z$5004,0)=3866,MAX($AA$4:AA3869)+1,""))</f>
        <v/>
      </c>
    </row>
    <row r="3871" spans="1:27">
      <c r="A3871" s="9"/>
      <c r="Z3871">
        <f>TRIM(A3871&amp;"")</f>
        <v/>
      </c>
      <c r="AA3871">
        <f>IF(Z3871="","",IF(MATCH(SUBSTITUTE(SUBSTITUTE(SUBSTITUTE(Z3871,"~","~~"),"*","~*"),"?","~?"),$Z$5:$Z$5004,0)=3867,MAX($AA$4:AA3870)+1,""))</f>
        <v/>
      </c>
    </row>
    <row r="3872" spans="1:27">
      <c r="A3872" s="9"/>
      <c r="Z3872">
        <f>TRIM(A3872&amp;"")</f>
        <v/>
      </c>
      <c r="AA3872">
        <f>IF(Z3872="","",IF(MATCH(SUBSTITUTE(SUBSTITUTE(SUBSTITUTE(Z3872,"~","~~"),"*","~*"),"?","~?"),$Z$5:$Z$5004,0)=3868,MAX($AA$4:AA3871)+1,""))</f>
        <v/>
      </c>
    </row>
    <row r="3873" spans="1:27">
      <c r="A3873" s="9"/>
      <c r="Z3873">
        <f>TRIM(A3873&amp;"")</f>
        <v/>
      </c>
      <c r="AA3873">
        <f>IF(Z3873="","",IF(MATCH(SUBSTITUTE(SUBSTITUTE(SUBSTITUTE(Z3873,"~","~~"),"*","~*"),"?","~?"),$Z$5:$Z$5004,0)=3869,MAX($AA$4:AA3872)+1,""))</f>
        <v/>
      </c>
    </row>
    <row r="3874" spans="1:27">
      <c r="A3874" s="9"/>
      <c r="Z3874">
        <f>TRIM(A3874&amp;"")</f>
        <v/>
      </c>
      <c r="AA3874">
        <f>IF(Z3874="","",IF(MATCH(SUBSTITUTE(SUBSTITUTE(SUBSTITUTE(Z3874,"~","~~"),"*","~*"),"?","~?"),$Z$5:$Z$5004,0)=3870,MAX($AA$4:AA3873)+1,""))</f>
        <v/>
      </c>
    </row>
    <row r="3875" spans="1:27">
      <c r="A3875" s="9"/>
      <c r="Z3875">
        <f>TRIM(A3875&amp;"")</f>
        <v/>
      </c>
      <c r="AA3875">
        <f>IF(Z3875="","",IF(MATCH(SUBSTITUTE(SUBSTITUTE(SUBSTITUTE(Z3875,"~","~~"),"*","~*"),"?","~?"),$Z$5:$Z$5004,0)=3871,MAX($AA$4:AA3874)+1,""))</f>
        <v/>
      </c>
    </row>
    <row r="3876" spans="1:27">
      <c r="A3876" s="9"/>
      <c r="Z3876">
        <f>TRIM(A3876&amp;"")</f>
        <v/>
      </c>
      <c r="AA3876">
        <f>IF(Z3876="","",IF(MATCH(SUBSTITUTE(SUBSTITUTE(SUBSTITUTE(Z3876,"~","~~"),"*","~*"),"?","~?"),$Z$5:$Z$5004,0)=3872,MAX($AA$4:AA3875)+1,""))</f>
        <v/>
      </c>
    </row>
    <row r="3877" spans="1:27">
      <c r="A3877" s="9"/>
      <c r="Z3877">
        <f>TRIM(A3877&amp;"")</f>
        <v/>
      </c>
      <c r="AA3877">
        <f>IF(Z3877="","",IF(MATCH(SUBSTITUTE(SUBSTITUTE(SUBSTITUTE(Z3877,"~","~~"),"*","~*"),"?","~?"),$Z$5:$Z$5004,0)=3873,MAX($AA$4:AA3876)+1,""))</f>
        <v/>
      </c>
    </row>
    <row r="3878" spans="1:27">
      <c r="A3878" s="9"/>
      <c r="Z3878">
        <f>TRIM(A3878&amp;"")</f>
        <v/>
      </c>
      <c r="AA3878">
        <f>IF(Z3878="","",IF(MATCH(SUBSTITUTE(SUBSTITUTE(SUBSTITUTE(Z3878,"~","~~"),"*","~*"),"?","~?"),$Z$5:$Z$5004,0)=3874,MAX($AA$4:AA3877)+1,""))</f>
        <v/>
      </c>
    </row>
    <row r="3879" spans="1:27">
      <c r="A3879" s="9"/>
      <c r="Z3879">
        <f>TRIM(A3879&amp;"")</f>
        <v/>
      </c>
      <c r="AA3879">
        <f>IF(Z3879="","",IF(MATCH(SUBSTITUTE(SUBSTITUTE(SUBSTITUTE(Z3879,"~","~~"),"*","~*"),"?","~?"),$Z$5:$Z$5004,0)=3875,MAX($AA$4:AA3878)+1,""))</f>
        <v/>
      </c>
    </row>
    <row r="3880" spans="1:27">
      <c r="A3880" s="9"/>
      <c r="Z3880">
        <f>TRIM(A3880&amp;"")</f>
        <v/>
      </c>
      <c r="AA3880">
        <f>IF(Z3880="","",IF(MATCH(SUBSTITUTE(SUBSTITUTE(SUBSTITUTE(Z3880,"~","~~"),"*","~*"),"?","~?"),$Z$5:$Z$5004,0)=3876,MAX($AA$4:AA3879)+1,""))</f>
        <v/>
      </c>
    </row>
    <row r="3881" spans="1:27">
      <c r="A3881" s="9"/>
      <c r="Z3881">
        <f>TRIM(A3881&amp;"")</f>
        <v/>
      </c>
      <c r="AA3881">
        <f>IF(Z3881="","",IF(MATCH(SUBSTITUTE(SUBSTITUTE(SUBSTITUTE(Z3881,"~","~~"),"*","~*"),"?","~?"),$Z$5:$Z$5004,0)=3877,MAX($AA$4:AA3880)+1,""))</f>
        <v/>
      </c>
    </row>
    <row r="3882" spans="1:27">
      <c r="A3882" s="9"/>
      <c r="Z3882">
        <f>TRIM(A3882&amp;"")</f>
        <v/>
      </c>
      <c r="AA3882">
        <f>IF(Z3882="","",IF(MATCH(SUBSTITUTE(SUBSTITUTE(SUBSTITUTE(Z3882,"~","~~"),"*","~*"),"?","~?"),$Z$5:$Z$5004,0)=3878,MAX($AA$4:AA3881)+1,""))</f>
        <v/>
      </c>
    </row>
    <row r="3883" spans="1:27">
      <c r="A3883" s="9"/>
      <c r="Z3883">
        <f>TRIM(A3883&amp;"")</f>
        <v/>
      </c>
      <c r="AA3883">
        <f>IF(Z3883="","",IF(MATCH(SUBSTITUTE(SUBSTITUTE(SUBSTITUTE(Z3883,"~","~~"),"*","~*"),"?","~?"),$Z$5:$Z$5004,0)=3879,MAX($AA$4:AA3882)+1,""))</f>
        <v/>
      </c>
    </row>
    <row r="3884" spans="1:27">
      <c r="A3884" s="9"/>
      <c r="Z3884">
        <f>TRIM(A3884&amp;"")</f>
        <v/>
      </c>
      <c r="AA3884">
        <f>IF(Z3884="","",IF(MATCH(SUBSTITUTE(SUBSTITUTE(SUBSTITUTE(Z3884,"~","~~"),"*","~*"),"?","~?"),$Z$5:$Z$5004,0)=3880,MAX($AA$4:AA3883)+1,""))</f>
        <v/>
      </c>
    </row>
    <row r="3885" spans="1:27">
      <c r="A3885" s="9"/>
      <c r="Z3885">
        <f>TRIM(A3885&amp;"")</f>
        <v/>
      </c>
      <c r="AA3885">
        <f>IF(Z3885="","",IF(MATCH(SUBSTITUTE(SUBSTITUTE(SUBSTITUTE(Z3885,"~","~~"),"*","~*"),"?","~?"),$Z$5:$Z$5004,0)=3881,MAX($AA$4:AA3884)+1,""))</f>
        <v/>
      </c>
    </row>
    <row r="3886" spans="1:27">
      <c r="A3886" s="9"/>
      <c r="Z3886">
        <f>TRIM(A3886&amp;"")</f>
        <v/>
      </c>
      <c r="AA3886">
        <f>IF(Z3886="","",IF(MATCH(SUBSTITUTE(SUBSTITUTE(SUBSTITUTE(Z3886,"~","~~"),"*","~*"),"?","~?"),$Z$5:$Z$5004,0)=3882,MAX($AA$4:AA3885)+1,""))</f>
        <v/>
      </c>
    </row>
    <row r="3887" spans="1:27">
      <c r="A3887" s="9"/>
      <c r="Z3887">
        <f>TRIM(A3887&amp;"")</f>
        <v/>
      </c>
      <c r="AA3887">
        <f>IF(Z3887="","",IF(MATCH(SUBSTITUTE(SUBSTITUTE(SUBSTITUTE(Z3887,"~","~~"),"*","~*"),"?","~?"),$Z$5:$Z$5004,0)=3883,MAX($AA$4:AA3886)+1,""))</f>
        <v/>
      </c>
    </row>
    <row r="3888" spans="1:27">
      <c r="A3888" s="9"/>
      <c r="Z3888">
        <f>TRIM(A3888&amp;"")</f>
        <v/>
      </c>
      <c r="AA3888">
        <f>IF(Z3888="","",IF(MATCH(SUBSTITUTE(SUBSTITUTE(SUBSTITUTE(Z3888,"~","~~"),"*","~*"),"?","~?"),$Z$5:$Z$5004,0)=3884,MAX($AA$4:AA3887)+1,""))</f>
        <v/>
      </c>
    </row>
    <row r="3889" spans="1:27">
      <c r="A3889" s="9"/>
      <c r="Z3889">
        <f>TRIM(A3889&amp;"")</f>
        <v/>
      </c>
      <c r="AA3889">
        <f>IF(Z3889="","",IF(MATCH(SUBSTITUTE(SUBSTITUTE(SUBSTITUTE(Z3889,"~","~~"),"*","~*"),"?","~?"),$Z$5:$Z$5004,0)=3885,MAX($AA$4:AA3888)+1,""))</f>
        <v/>
      </c>
    </row>
    <row r="3890" spans="1:27">
      <c r="A3890" s="9"/>
      <c r="Z3890">
        <f>TRIM(A3890&amp;"")</f>
        <v/>
      </c>
      <c r="AA3890">
        <f>IF(Z3890="","",IF(MATCH(SUBSTITUTE(SUBSTITUTE(SUBSTITUTE(Z3890,"~","~~"),"*","~*"),"?","~?"),$Z$5:$Z$5004,0)=3886,MAX($AA$4:AA3889)+1,""))</f>
        <v/>
      </c>
    </row>
    <row r="3891" spans="1:27">
      <c r="A3891" s="9"/>
      <c r="Z3891">
        <f>TRIM(A3891&amp;"")</f>
        <v/>
      </c>
      <c r="AA3891">
        <f>IF(Z3891="","",IF(MATCH(SUBSTITUTE(SUBSTITUTE(SUBSTITUTE(Z3891,"~","~~"),"*","~*"),"?","~?"),$Z$5:$Z$5004,0)=3887,MAX($AA$4:AA3890)+1,""))</f>
        <v/>
      </c>
    </row>
    <row r="3892" spans="1:27">
      <c r="A3892" s="9"/>
      <c r="Z3892">
        <f>TRIM(A3892&amp;"")</f>
        <v/>
      </c>
      <c r="AA3892">
        <f>IF(Z3892="","",IF(MATCH(SUBSTITUTE(SUBSTITUTE(SUBSTITUTE(Z3892,"~","~~"),"*","~*"),"?","~?"),$Z$5:$Z$5004,0)=3888,MAX($AA$4:AA3891)+1,""))</f>
        <v/>
      </c>
    </row>
    <row r="3893" spans="1:27">
      <c r="A3893" s="9"/>
      <c r="Z3893">
        <f>TRIM(A3893&amp;"")</f>
        <v/>
      </c>
      <c r="AA3893">
        <f>IF(Z3893="","",IF(MATCH(SUBSTITUTE(SUBSTITUTE(SUBSTITUTE(Z3893,"~","~~"),"*","~*"),"?","~?"),$Z$5:$Z$5004,0)=3889,MAX($AA$4:AA3892)+1,""))</f>
        <v/>
      </c>
    </row>
    <row r="3894" spans="1:27">
      <c r="A3894" s="9"/>
      <c r="Z3894">
        <f>TRIM(A3894&amp;"")</f>
        <v/>
      </c>
      <c r="AA3894">
        <f>IF(Z3894="","",IF(MATCH(SUBSTITUTE(SUBSTITUTE(SUBSTITUTE(Z3894,"~","~~"),"*","~*"),"?","~?"),$Z$5:$Z$5004,0)=3890,MAX($AA$4:AA3893)+1,""))</f>
        <v/>
      </c>
    </row>
    <row r="3895" spans="1:27">
      <c r="A3895" s="9"/>
      <c r="Z3895">
        <f>TRIM(A3895&amp;"")</f>
        <v/>
      </c>
      <c r="AA3895">
        <f>IF(Z3895="","",IF(MATCH(SUBSTITUTE(SUBSTITUTE(SUBSTITUTE(Z3895,"~","~~"),"*","~*"),"?","~?"),$Z$5:$Z$5004,0)=3891,MAX($AA$4:AA3894)+1,""))</f>
        <v/>
      </c>
    </row>
    <row r="3896" spans="1:27">
      <c r="A3896" s="9"/>
      <c r="Z3896">
        <f>TRIM(A3896&amp;"")</f>
        <v/>
      </c>
      <c r="AA3896">
        <f>IF(Z3896="","",IF(MATCH(SUBSTITUTE(SUBSTITUTE(SUBSTITUTE(Z3896,"~","~~"),"*","~*"),"?","~?"),$Z$5:$Z$5004,0)=3892,MAX($AA$4:AA3895)+1,""))</f>
        <v/>
      </c>
    </row>
    <row r="3897" spans="1:27">
      <c r="A3897" s="9"/>
      <c r="Z3897">
        <f>TRIM(A3897&amp;"")</f>
        <v/>
      </c>
      <c r="AA3897">
        <f>IF(Z3897="","",IF(MATCH(SUBSTITUTE(SUBSTITUTE(SUBSTITUTE(Z3897,"~","~~"),"*","~*"),"?","~?"),$Z$5:$Z$5004,0)=3893,MAX($AA$4:AA3896)+1,""))</f>
        <v/>
      </c>
    </row>
    <row r="3898" spans="1:27">
      <c r="A3898" s="9"/>
      <c r="Z3898">
        <f>TRIM(A3898&amp;"")</f>
        <v/>
      </c>
      <c r="AA3898">
        <f>IF(Z3898="","",IF(MATCH(SUBSTITUTE(SUBSTITUTE(SUBSTITUTE(Z3898,"~","~~"),"*","~*"),"?","~?"),$Z$5:$Z$5004,0)=3894,MAX($AA$4:AA3897)+1,""))</f>
        <v/>
      </c>
    </row>
    <row r="3899" spans="1:27">
      <c r="A3899" s="9"/>
      <c r="Z3899">
        <f>TRIM(A3899&amp;"")</f>
        <v/>
      </c>
      <c r="AA3899">
        <f>IF(Z3899="","",IF(MATCH(SUBSTITUTE(SUBSTITUTE(SUBSTITUTE(Z3899,"~","~~"),"*","~*"),"?","~?"),$Z$5:$Z$5004,0)=3895,MAX($AA$4:AA3898)+1,""))</f>
        <v/>
      </c>
    </row>
    <row r="3900" spans="1:27">
      <c r="A3900" s="9"/>
      <c r="Z3900">
        <f>TRIM(A3900&amp;"")</f>
        <v/>
      </c>
      <c r="AA3900">
        <f>IF(Z3900="","",IF(MATCH(SUBSTITUTE(SUBSTITUTE(SUBSTITUTE(Z3900,"~","~~"),"*","~*"),"?","~?"),$Z$5:$Z$5004,0)=3896,MAX($AA$4:AA3899)+1,""))</f>
        <v/>
      </c>
    </row>
    <row r="3901" spans="1:27">
      <c r="A3901" s="9"/>
      <c r="Z3901">
        <f>TRIM(A3901&amp;"")</f>
        <v/>
      </c>
      <c r="AA3901">
        <f>IF(Z3901="","",IF(MATCH(SUBSTITUTE(SUBSTITUTE(SUBSTITUTE(Z3901,"~","~~"),"*","~*"),"?","~?"),$Z$5:$Z$5004,0)=3897,MAX($AA$4:AA3900)+1,""))</f>
        <v/>
      </c>
    </row>
    <row r="3902" spans="1:27">
      <c r="A3902" s="9"/>
      <c r="Z3902">
        <f>TRIM(A3902&amp;"")</f>
        <v/>
      </c>
      <c r="AA3902">
        <f>IF(Z3902="","",IF(MATCH(SUBSTITUTE(SUBSTITUTE(SUBSTITUTE(Z3902,"~","~~"),"*","~*"),"?","~?"),$Z$5:$Z$5004,0)=3898,MAX($AA$4:AA3901)+1,""))</f>
        <v/>
      </c>
    </row>
    <row r="3903" spans="1:27">
      <c r="A3903" s="9"/>
      <c r="Z3903">
        <f>TRIM(A3903&amp;"")</f>
        <v/>
      </c>
      <c r="AA3903">
        <f>IF(Z3903="","",IF(MATCH(SUBSTITUTE(SUBSTITUTE(SUBSTITUTE(Z3903,"~","~~"),"*","~*"),"?","~?"),$Z$5:$Z$5004,0)=3899,MAX($AA$4:AA3902)+1,""))</f>
        <v/>
      </c>
    </row>
    <row r="3904" spans="1:27">
      <c r="A3904" s="9"/>
      <c r="Z3904">
        <f>TRIM(A3904&amp;"")</f>
        <v/>
      </c>
      <c r="AA3904">
        <f>IF(Z3904="","",IF(MATCH(SUBSTITUTE(SUBSTITUTE(SUBSTITUTE(Z3904,"~","~~"),"*","~*"),"?","~?"),$Z$5:$Z$5004,0)=3900,MAX($AA$4:AA3903)+1,""))</f>
        <v/>
      </c>
    </row>
    <row r="3905" spans="1:27">
      <c r="A3905" s="9"/>
      <c r="Z3905">
        <f>TRIM(A3905&amp;"")</f>
        <v/>
      </c>
      <c r="AA3905">
        <f>IF(Z3905="","",IF(MATCH(SUBSTITUTE(SUBSTITUTE(SUBSTITUTE(Z3905,"~","~~"),"*","~*"),"?","~?"),$Z$5:$Z$5004,0)=3901,MAX($AA$4:AA3904)+1,""))</f>
        <v/>
      </c>
    </row>
    <row r="3906" spans="1:27">
      <c r="A3906" s="9"/>
      <c r="Z3906">
        <f>TRIM(A3906&amp;"")</f>
        <v/>
      </c>
      <c r="AA3906">
        <f>IF(Z3906="","",IF(MATCH(SUBSTITUTE(SUBSTITUTE(SUBSTITUTE(Z3906,"~","~~"),"*","~*"),"?","~?"),$Z$5:$Z$5004,0)=3902,MAX($AA$4:AA3905)+1,""))</f>
        <v/>
      </c>
    </row>
    <row r="3907" spans="1:27">
      <c r="A3907" s="9"/>
      <c r="Z3907">
        <f>TRIM(A3907&amp;"")</f>
        <v/>
      </c>
      <c r="AA3907">
        <f>IF(Z3907="","",IF(MATCH(SUBSTITUTE(SUBSTITUTE(SUBSTITUTE(Z3907,"~","~~"),"*","~*"),"?","~?"),$Z$5:$Z$5004,0)=3903,MAX($AA$4:AA3906)+1,""))</f>
        <v/>
      </c>
    </row>
    <row r="3908" spans="1:27">
      <c r="A3908" s="9"/>
      <c r="Z3908">
        <f>TRIM(A3908&amp;"")</f>
        <v/>
      </c>
      <c r="AA3908">
        <f>IF(Z3908="","",IF(MATCH(SUBSTITUTE(SUBSTITUTE(SUBSTITUTE(Z3908,"~","~~"),"*","~*"),"?","~?"),$Z$5:$Z$5004,0)=3904,MAX($AA$4:AA3907)+1,""))</f>
        <v/>
      </c>
    </row>
    <row r="3909" spans="1:27">
      <c r="A3909" s="9"/>
      <c r="Z3909">
        <f>TRIM(A3909&amp;"")</f>
        <v/>
      </c>
      <c r="AA3909">
        <f>IF(Z3909="","",IF(MATCH(SUBSTITUTE(SUBSTITUTE(SUBSTITUTE(Z3909,"~","~~"),"*","~*"),"?","~?"),$Z$5:$Z$5004,0)=3905,MAX($AA$4:AA3908)+1,""))</f>
        <v/>
      </c>
    </row>
    <row r="3910" spans="1:27">
      <c r="A3910" s="9"/>
      <c r="Z3910">
        <f>TRIM(A3910&amp;"")</f>
        <v/>
      </c>
      <c r="AA3910">
        <f>IF(Z3910="","",IF(MATCH(SUBSTITUTE(SUBSTITUTE(SUBSTITUTE(Z3910,"~","~~"),"*","~*"),"?","~?"),$Z$5:$Z$5004,0)=3906,MAX($AA$4:AA3909)+1,""))</f>
        <v/>
      </c>
    </row>
    <row r="3911" spans="1:27">
      <c r="A3911" s="9"/>
      <c r="Z3911">
        <f>TRIM(A3911&amp;"")</f>
        <v/>
      </c>
      <c r="AA3911">
        <f>IF(Z3911="","",IF(MATCH(SUBSTITUTE(SUBSTITUTE(SUBSTITUTE(Z3911,"~","~~"),"*","~*"),"?","~?"),$Z$5:$Z$5004,0)=3907,MAX($AA$4:AA3910)+1,""))</f>
        <v/>
      </c>
    </row>
    <row r="3912" spans="1:27">
      <c r="A3912" s="9"/>
      <c r="Z3912">
        <f>TRIM(A3912&amp;"")</f>
        <v/>
      </c>
      <c r="AA3912">
        <f>IF(Z3912="","",IF(MATCH(SUBSTITUTE(SUBSTITUTE(SUBSTITUTE(Z3912,"~","~~"),"*","~*"),"?","~?"),$Z$5:$Z$5004,0)=3908,MAX($AA$4:AA3911)+1,""))</f>
        <v/>
      </c>
    </row>
    <row r="3913" spans="1:27">
      <c r="A3913" s="9"/>
      <c r="Z3913">
        <f>TRIM(A3913&amp;"")</f>
        <v/>
      </c>
      <c r="AA3913">
        <f>IF(Z3913="","",IF(MATCH(SUBSTITUTE(SUBSTITUTE(SUBSTITUTE(Z3913,"~","~~"),"*","~*"),"?","~?"),$Z$5:$Z$5004,0)=3909,MAX($AA$4:AA3912)+1,""))</f>
        <v/>
      </c>
    </row>
    <row r="3914" spans="1:27">
      <c r="A3914" s="9"/>
      <c r="Z3914">
        <f>TRIM(A3914&amp;"")</f>
        <v/>
      </c>
      <c r="AA3914">
        <f>IF(Z3914="","",IF(MATCH(SUBSTITUTE(SUBSTITUTE(SUBSTITUTE(Z3914,"~","~~"),"*","~*"),"?","~?"),$Z$5:$Z$5004,0)=3910,MAX($AA$4:AA3913)+1,""))</f>
        <v/>
      </c>
    </row>
    <row r="3915" spans="1:27">
      <c r="A3915" s="9"/>
      <c r="Z3915">
        <f>TRIM(A3915&amp;"")</f>
        <v/>
      </c>
      <c r="AA3915">
        <f>IF(Z3915="","",IF(MATCH(SUBSTITUTE(SUBSTITUTE(SUBSTITUTE(Z3915,"~","~~"),"*","~*"),"?","~?"),$Z$5:$Z$5004,0)=3911,MAX($AA$4:AA3914)+1,""))</f>
        <v/>
      </c>
    </row>
    <row r="3916" spans="1:27">
      <c r="A3916" s="9"/>
      <c r="Z3916">
        <f>TRIM(A3916&amp;"")</f>
        <v/>
      </c>
      <c r="AA3916">
        <f>IF(Z3916="","",IF(MATCH(SUBSTITUTE(SUBSTITUTE(SUBSTITUTE(Z3916,"~","~~"),"*","~*"),"?","~?"),$Z$5:$Z$5004,0)=3912,MAX($AA$4:AA3915)+1,""))</f>
        <v/>
      </c>
    </row>
    <row r="3917" spans="1:27">
      <c r="A3917" s="9"/>
      <c r="Z3917">
        <f>TRIM(A3917&amp;"")</f>
        <v/>
      </c>
      <c r="AA3917">
        <f>IF(Z3917="","",IF(MATCH(SUBSTITUTE(SUBSTITUTE(SUBSTITUTE(Z3917,"~","~~"),"*","~*"),"?","~?"),$Z$5:$Z$5004,0)=3913,MAX($AA$4:AA3916)+1,""))</f>
        <v/>
      </c>
    </row>
    <row r="3918" spans="1:27">
      <c r="A3918" s="9"/>
      <c r="Z3918">
        <f>TRIM(A3918&amp;"")</f>
        <v/>
      </c>
      <c r="AA3918">
        <f>IF(Z3918="","",IF(MATCH(SUBSTITUTE(SUBSTITUTE(SUBSTITUTE(Z3918,"~","~~"),"*","~*"),"?","~?"),$Z$5:$Z$5004,0)=3914,MAX($AA$4:AA3917)+1,""))</f>
        <v/>
      </c>
    </row>
    <row r="3919" spans="1:27">
      <c r="A3919" s="9"/>
      <c r="Z3919">
        <f>TRIM(A3919&amp;"")</f>
        <v/>
      </c>
      <c r="AA3919">
        <f>IF(Z3919="","",IF(MATCH(SUBSTITUTE(SUBSTITUTE(SUBSTITUTE(Z3919,"~","~~"),"*","~*"),"?","~?"),$Z$5:$Z$5004,0)=3915,MAX($AA$4:AA3918)+1,""))</f>
        <v/>
      </c>
    </row>
    <row r="3920" spans="1:27">
      <c r="A3920" s="9"/>
      <c r="Z3920">
        <f>TRIM(A3920&amp;"")</f>
        <v/>
      </c>
      <c r="AA3920">
        <f>IF(Z3920="","",IF(MATCH(SUBSTITUTE(SUBSTITUTE(SUBSTITUTE(Z3920,"~","~~"),"*","~*"),"?","~?"),$Z$5:$Z$5004,0)=3916,MAX($AA$4:AA3919)+1,""))</f>
        <v/>
      </c>
    </row>
    <row r="3921" spans="1:27">
      <c r="A3921" s="9"/>
      <c r="Z3921">
        <f>TRIM(A3921&amp;"")</f>
        <v/>
      </c>
      <c r="AA3921">
        <f>IF(Z3921="","",IF(MATCH(SUBSTITUTE(SUBSTITUTE(SUBSTITUTE(Z3921,"~","~~"),"*","~*"),"?","~?"),$Z$5:$Z$5004,0)=3917,MAX($AA$4:AA3920)+1,""))</f>
        <v/>
      </c>
    </row>
    <row r="3922" spans="1:27">
      <c r="A3922" s="9"/>
      <c r="Z3922">
        <f>TRIM(A3922&amp;"")</f>
        <v/>
      </c>
      <c r="AA3922">
        <f>IF(Z3922="","",IF(MATCH(SUBSTITUTE(SUBSTITUTE(SUBSTITUTE(Z3922,"~","~~"),"*","~*"),"?","~?"),$Z$5:$Z$5004,0)=3918,MAX($AA$4:AA3921)+1,""))</f>
        <v/>
      </c>
    </row>
    <row r="3923" spans="1:27">
      <c r="A3923" s="9"/>
      <c r="Z3923">
        <f>TRIM(A3923&amp;"")</f>
        <v/>
      </c>
      <c r="AA3923">
        <f>IF(Z3923="","",IF(MATCH(SUBSTITUTE(SUBSTITUTE(SUBSTITUTE(Z3923,"~","~~"),"*","~*"),"?","~?"),$Z$5:$Z$5004,0)=3919,MAX($AA$4:AA3922)+1,""))</f>
        <v/>
      </c>
    </row>
    <row r="3924" spans="1:27">
      <c r="A3924" s="9"/>
      <c r="Z3924">
        <f>TRIM(A3924&amp;"")</f>
        <v/>
      </c>
      <c r="AA3924">
        <f>IF(Z3924="","",IF(MATCH(SUBSTITUTE(SUBSTITUTE(SUBSTITUTE(Z3924,"~","~~"),"*","~*"),"?","~?"),$Z$5:$Z$5004,0)=3920,MAX($AA$4:AA3923)+1,""))</f>
        <v/>
      </c>
    </row>
    <row r="3925" spans="1:27">
      <c r="A3925" s="9"/>
      <c r="Z3925">
        <f>TRIM(A3925&amp;"")</f>
        <v/>
      </c>
      <c r="AA3925">
        <f>IF(Z3925="","",IF(MATCH(SUBSTITUTE(SUBSTITUTE(SUBSTITUTE(Z3925,"~","~~"),"*","~*"),"?","~?"),$Z$5:$Z$5004,0)=3921,MAX($AA$4:AA3924)+1,""))</f>
        <v/>
      </c>
    </row>
    <row r="3926" spans="1:27">
      <c r="A3926" s="9"/>
      <c r="Z3926">
        <f>TRIM(A3926&amp;"")</f>
        <v/>
      </c>
      <c r="AA3926">
        <f>IF(Z3926="","",IF(MATCH(SUBSTITUTE(SUBSTITUTE(SUBSTITUTE(Z3926,"~","~~"),"*","~*"),"?","~?"),$Z$5:$Z$5004,0)=3922,MAX($AA$4:AA3925)+1,""))</f>
        <v/>
      </c>
    </row>
    <row r="3927" spans="1:27">
      <c r="A3927" s="9"/>
      <c r="Z3927">
        <f>TRIM(A3927&amp;"")</f>
        <v/>
      </c>
      <c r="AA3927">
        <f>IF(Z3927="","",IF(MATCH(SUBSTITUTE(SUBSTITUTE(SUBSTITUTE(Z3927,"~","~~"),"*","~*"),"?","~?"),$Z$5:$Z$5004,0)=3923,MAX($AA$4:AA3926)+1,""))</f>
        <v/>
      </c>
    </row>
    <row r="3928" spans="1:27">
      <c r="A3928" s="9"/>
      <c r="Z3928">
        <f>TRIM(A3928&amp;"")</f>
        <v/>
      </c>
      <c r="AA3928">
        <f>IF(Z3928="","",IF(MATCH(SUBSTITUTE(SUBSTITUTE(SUBSTITUTE(Z3928,"~","~~"),"*","~*"),"?","~?"),$Z$5:$Z$5004,0)=3924,MAX($AA$4:AA3927)+1,""))</f>
        <v/>
      </c>
    </row>
    <row r="3929" spans="1:27">
      <c r="A3929" s="9"/>
      <c r="Z3929">
        <f>TRIM(A3929&amp;"")</f>
        <v/>
      </c>
      <c r="AA3929">
        <f>IF(Z3929="","",IF(MATCH(SUBSTITUTE(SUBSTITUTE(SUBSTITUTE(Z3929,"~","~~"),"*","~*"),"?","~?"),$Z$5:$Z$5004,0)=3925,MAX($AA$4:AA3928)+1,""))</f>
        <v/>
      </c>
    </row>
    <row r="3930" spans="1:27">
      <c r="A3930" s="9"/>
      <c r="Z3930">
        <f>TRIM(A3930&amp;"")</f>
        <v/>
      </c>
      <c r="AA3930">
        <f>IF(Z3930="","",IF(MATCH(SUBSTITUTE(SUBSTITUTE(SUBSTITUTE(Z3930,"~","~~"),"*","~*"),"?","~?"),$Z$5:$Z$5004,0)=3926,MAX($AA$4:AA3929)+1,""))</f>
        <v/>
      </c>
    </row>
    <row r="3931" spans="1:27">
      <c r="A3931" s="9"/>
      <c r="Z3931">
        <f>TRIM(A3931&amp;"")</f>
        <v/>
      </c>
      <c r="AA3931">
        <f>IF(Z3931="","",IF(MATCH(SUBSTITUTE(SUBSTITUTE(SUBSTITUTE(Z3931,"~","~~"),"*","~*"),"?","~?"),$Z$5:$Z$5004,0)=3927,MAX($AA$4:AA3930)+1,""))</f>
        <v/>
      </c>
    </row>
    <row r="3932" spans="1:27">
      <c r="A3932" s="9"/>
      <c r="Z3932">
        <f>TRIM(A3932&amp;"")</f>
        <v/>
      </c>
      <c r="AA3932">
        <f>IF(Z3932="","",IF(MATCH(SUBSTITUTE(SUBSTITUTE(SUBSTITUTE(Z3932,"~","~~"),"*","~*"),"?","~?"),$Z$5:$Z$5004,0)=3928,MAX($AA$4:AA3931)+1,""))</f>
        <v/>
      </c>
    </row>
    <row r="3933" spans="1:27">
      <c r="A3933" s="9"/>
      <c r="Z3933">
        <f>TRIM(A3933&amp;"")</f>
        <v/>
      </c>
      <c r="AA3933">
        <f>IF(Z3933="","",IF(MATCH(SUBSTITUTE(SUBSTITUTE(SUBSTITUTE(Z3933,"~","~~"),"*","~*"),"?","~?"),$Z$5:$Z$5004,0)=3929,MAX($AA$4:AA3932)+1,""))</f>
        <v/>
      </c>
    </row>
    <row r="3934" spans="1:27">
      <c r="A3934" s="9"/>
      <c r="Z3934">
        <f>TRIM(A3934&amp;"")</f>
        <v/>
      </c>
      <c r="AA3934">
        <f>IF(Z3934="","",IF(MATCH(SUBSTITUTE(SUBSTITUTE(SUBSTITUTE(Z3934,"~","~~"),"*","~*"),"?","~?"),$Z$5:$Z$5004,0)=3930,MAX($AA$4:AA3933)+1,""))</f>
        <v/>
      </c>
    </row>
    <row r="3935" spans="1:27">
      <c r="A3935" s="9"/>
      <c r="Z3935">
        <f>TRIM(A3935&amp;"")</f>
        <v/>
      </c>
      <c r="AA3935">
        <f>IF(Z3935="","",IF(MATCH(SUBSTITUTE(SUBSTITUTE(SUBSTITUTE(Z3935,"~","~~"),"*","~*"),"?","~?"),$Z$5:$Z$5004,0)=3931,MAX($AA$4:AA3934)+1,""))</f>
        <v/>
      </c>
    </row>
    <row r="3936" spans="1:27">
      <c r="A3936" s="9"/>
      <c r="Z3936">
        <f>TRIM(A3936&amp;"")</f>
        <v/>
      </c>
      <c r="AA3936">
        <f>IF(Z3936="","",IF(MATCH(SUBSTITUTE(SUBSTITUTE(SUBSTITUTE(Z3936,"~","~~"),"*","~*"),"?","~?"),$Z$5:$Z$5004,0)=3932,MAX($AA$4:AA3935)+1,""))</f>
        <v/>
      </c>
    </row>
    <row r="3937" spans="1:27">
      <c r="A3937" s="9"/>
      <c r="Z3937">
        <f>TRIM(A3937&amp;"")</f>
        <v/>
      </c>
      <c r="AA3937">
        <f>IF(Z3937="","",IF(MATCH(SUBSTITUTE(SUBSTITUTE(SUBSTITUTE(Z3937,"~","~~"),"*","~*"),"?","~?"),$Z$5:$Z$5004,0)=3933,MAX($AA$4:AA3936)+1,""))</f>
        <v/>
      </c>
    </row>
    <row r="3938" spans="1:27">
      <c r="A3938" s="9"/>
      <c r="Z3938">
        <f>TRIM(A3938&amp;"")</f>
        <v/>
      </c>
      <c r="AA3938">
        <f>IF(Z3938="","",IF(MATCH(SUBSTITUTE(SUBSTITUTE(SUBSTITUTE(Z3938,"~","~~"),"*","~*"),"?","~?"),$Z$5:$Z$5004,0)=3934,MAX($AA$4:AA3937)+1,""))</f>
        <v/>
      </c>
    </row>
    <row r="3939" spans="1:27">
      <c r="A3939" s="9"/>
      <c r="Z3939">
        <f>TRIM(A3939&amp;"")</f>
        <v/>
      </c>
      <c r="AA3939">
        <f>IF(Z3939="","",IF(MATCH(SUBSTITUTE(SUBSTITUTE(SUBSTITUTE(Z3939,"~","~~"),"*","~*"),"?","~?"),$Z$5:$Z$5004,0)=3935,MAX($AA$4:AA3938)+1,""))</f>
        <v/>
      </c>
    </row>
    <row r="3940" spans="1:27">
      <c r="A3940" s="9"/>
      <c r="Z3940">
        <f>TRIM(A3940&amp;"")</f>
        <v/>
      </c>
      <c r="AA3940">
        <f>IF(Z3940="","",IF(MATCH(SUBSTITUTE(SUBSTITUTE(SUBSTITUTE(Z3940,"~","~~"),"*","~*"),"?","~?"),$Z$5:$Z$5004,0)=3936,MAX($AA$4:AA3939)+1,""))</f>
        <v/>
      </c>
    </row>
    <row r="3941" spans="1:27">
      <c r="A3941" s="9"/>
      <c r="Z3941">
        <f>TRIM(A3941&amp;"")</f>
        <v/>
      </c>
      <c r="AA3941">
        <f>IF(Z3941="","",IF(MATCH(SUBSTITUTE(SUBSTITUTE(SUBSTITUTE(Z3941,"~","~~"),"*","~*"),"?","~?"),$Z$5:$Z$5004,0)=3937,MAX($AA$4:AA3940)+1,""))</f>
        <v/>
      </c>
    </row>
    <row r="3942" spans="1:27">
      <c r="A3942" s="9"/>
      <c r="Z3942">
        <f>TRIM(A3942&amp;"")</f>
        <v/>
      </c>
      <c r="AA3942">
        <f>IF(Z3942="","",IF(MATCH(SUBSTITUTE(SUBSTITUTE(SUBSTITUTE(Z3942,"~","~~"),"*","~*"),"?","~?"),$Z$5:$Z$5004,0)=3938,MAX($AA$4:AA3941)+1,""))</f>
        <v/>
      </c>
    </row>
    <row r="3943" spans="1:27">
      <c r="A3943" s="9"/>
      <c r="Z3943">
        <f>TRIM(A3943&amp;"")</f>
        <v/>
      </c>
      <c r="AA3943">
        <f>IF(Z3943="","",IF(MATCH(SUBSTITUTE(SUBSTITUTE(SUBSTITUTE(Z3943,"~","~~"),"*","~*"),"?","~?"),$Z$5:$Z$5004,0)=3939,MAX($AA$4:AA3942)+1,""))</f>
        <v/>
      </c>
    </row>
    <row r="3944" spans="1:27">
      <c r="A3944" s="9"/>
      <c r="Z3944">
        <f>TRIM(A3944&amp;"")</f>
        <v/>
      </c>
      <c r="AA3944">
        <f>IF(Z3944="","",IF(MATCH(SUBSTITUTE(SUBSTITUTE(SUBSTITUTE(Z3944,"~","~~"),"*","~*"),"?","~?"),$Z$5:$Z$5004,0)=3940,MAX($AA$4:AA3943)+1,""))</f>
        <v/>
      </c>
    </row>
    <row r="3945" spans="1:27">
      <c r="A3945" s="9"/>
      <c r="Z3945">
        <f>TRIM(A3945&amp;"")</f>
        <v/>
      </c>
      <c r="AA3945">
        <f>IF(Z3945="","",IF(MATCH(SUBSTITUTE(SUBSTITUTE(SUBSTITUTE(Z3945,"~","~~"),"*","~*"),"?","~?"),$Z$5:$Z$5004,0)=3941,MAX($AA$4:AA3944)+1,""))</f>
        <v/>
      </c>
    </row>
    <row r="3946" spans="1:27">
      <c r="A3946" s="9"/>
      <c r="Z3946">
        <f>TRIM(A3946&amp;"")</f>
        <v/>
      </c>
      <c r="AA3946">
        <f>IF(Z3946="","",IF(MATCH(SUBSTITUTE(SUBSTITUTE(SUBSTITUTE(Z3946,"~","~~"),"*","~*"),"?","~?"),$Z$5:$Z$5004,0)=3942,MAX($AA$4:AA3945)+1,""))</f>
        <v/>
      </c>
    </row>
    <row r="3947" spans="1:27">
      <c r="A3947" s="9"/>
      <c r="Z3947">
        <f>TRIM(A3947&amp;"")</f>
        <v/>
      </c>
      <c r="AA3947">
        <f>IF(Z3947="","",IF(MATCH(SUBSTITUTE(SUBSTITUTE(SUBSTITUTE(Z3947,"~","~~"),"*","~*"),"?","~?"),$Z$5:$Z$5004,0)=3943,MAX($AA$4:AA3946)+1,""))</f>
        <v/>
      </c>
    </row>
    <row r="3948" spans="1:27">
      <c r="A3948" s="9"/>
      <c r="Z3948">
        <f>TRIM(A3948&amp;"")</f>
        <v/>
      </c>
      <c r="AA3948">
        <f>IF(Z3948="","",IF(MATCH(SUBSTITUTE(SUBSTITUTE(SUBSTITUTE(Z3948,"~","~~"),"*","~*"),"?","~?"),$Z$5:$Z$5004,0)=3944,MAX($AA$4:AA3947)+1,""))</f>
        <v/>
      </c>
    </row>
    <row r="3949" spans="1:27">
      <c r="A3949" s="9"/>
      <c r="Z3949">
        <f>TRIM(A3949&amp;"")</f>
        <v/>
      </c>
      <c r="AA3949">
        <f>IF(Z3949="","",IF(MATCH(SUBSTITUTE(SUBSTITUTE(SUBSTITUTE(Z3949,"~","~~"),"*","~*"),"?","~?"),$Z$5:$Z$5004,0)=3945,MAX($AA$4:AA3948)+1,""))</f>
        <v/>
      </c>
    </row>
    <row r="3950" spans="1:27">
      <c r="A3950" s="9"/>
      <c r="Z3950">
        <f>TRIM(A3950&amp;"")</f>
        <v/>
      </c>
      <c r="AA3950">
        <f>IF(Z3950="","",IF(MATCH(SUBSTITUTE(SUBSTITUTE(SUBSTITUTE(Z3950,"~","~~"),"*","~*"),"?","~?"),$Z$5:$Z$5004,0)=3946,MAX($AA$4:AA3949)+1,""))</f>
        <v/>
      </c>
    </row>
    <row r="3951" spans="1:27">
      <c r="A3951" s="9"/>
      <c r="Z3951">
        <f>TRIM(A3951&amp;"")</f>
        <v/>
      </c>
      <c r="AA3951">
        <f>IF(Z3951="","",IF(MATCH(SUBSTITUTE(SUBSTITUTE(SUBSTITUTE(Z3951,"~","~~"),"*","~*"),"?","~?"),$Z$5:$Z$5004,0)=3947,MAX($AA$4:AA3950)+1,""))</f>
        <v/>
      </c>
    </row>
    <row r="3952" spans="1:27">
      <c r="A3952" s="9"/>
      <c r="Z3952">
        <f>TRIM(A3952&amp;"")</f>
        <v/>
      </c>
      <c r="AA3952">
        <f>IF(Z3952="","",IF(MATCH(SUBSTITUTE(SUBSTITUTE(SUBSTITUTE(Z3952,"~","~~"),"*","~*"),"?","~?"),$Z$5:$Z$5004,0)=3948,MAX($AA$4:AA3951)+1,""))</f>
        <v/>
      </c>
    </row>
    <row r="3953" spans="1:27">
      <c r="A3953" s="9"/>
      <c r="Z3953">
        <f>TRIM(A3953&amp;"")</f>
        <v/>
      </c>
      <c r="AA3953">
        <f>IF(Z3953="","",IF(MATCH(SUBSTITUTE(SUBSTITUTE(SUBSTITUTE(Z3953,"~","~~"),"*","~*"),"?","~?"),$Z$5:$Z$5004,0)=3949,MAX($AA$4:AA3952)+1,""))</f>
        <v/>
      </c>
    </row>
    <row r="3954" spans="1:27">
      <c r="A3954" s="9"/>
      <c r="Z3954">
        <f>TRIM(A3954&amp;"")</f>
        <v/>
      </c>
      <c r="AA3954">
        <f>IF(Z3954="","",IF(MATCH(SUBSTITUTE(SUBSTITUTE(SUBSTITUTE(Z3954,"~","~~"),"*","~*"),"?","~?"),$Z$5:$Z$5004,0)=3950,MAX($AA$4:AA3953)+1,""))</f>
        <v/>
      </c>
    </row>
    <row r="3955" spans="1:27">
      <c r="A3955" s="9"/>
      <c r="Z3955">
        <f>TRIM(A3955&amp;"")</f>
        <v/>
      </c>
      <c r="AA3955">
        <f>IF(Z3955="","",IF(MATCH(SUBSTITUTE(SUBSTITUTE(SUBSTITUTE(Z3955,"~","~~"),"*","~*"),"?","~?"),$Z$5:$Z$5004,0)=3951,MAX($AA$4:AA3954)+1,""))</f>
        <v/>
      </c>
    </row>
    <row r="3956" spans="1:27">
      <c r="A3956" s="9"/>
      <c r="Z3956">
        <f>TRIM(A3956&amp;"")</f>
        <v/>
      </c>
      <c r="AA3956">
        <f>IF(Z3956="","",IF(MATCH(SUBSTITUTE(SUBSTITUTE(SUBSTITUTE(Z3956,"~","~~"),"*","~*"),"?","~?"),$Z$5:$Z$5004,0)=3952,MAX($AA$4:AA3955)+1,""))</f>
        <v/>
      </c>
    </row>
    <row r="3957" spans="1:27">
      <c r="A3957" s="9"/>
      <c r="Z3957">
        <f>TRIM(A3957&amp;"")</f>
        <v/>
      </c>
      <c r="AA3957">
        <f>IF(Z3957="","",IF(MATCH(SUBSTITUTE(SUBSTITUTE(SUBSTITUTE(Z3957,"~","~~"),"*","~*"),"?","~?"),$Z$5:$Z$5004,0)=3953,MAX($AA$4:AA3956)+1,""))</f>
        <v/>
      </c>
    </row>
    <row r="3958" spans="1:27">
      <c r="A3958" s="9"/>
      <c r="Z3958">
        <f>TRIM(A3958&amp;"")</f>
        <v/>
      </c>
      <c r="AA3958">
        <f>IF(Z3958="","",IF(MATCH(SUBSTITUTE(SUBSTITUTE(SUBSTITUTE(Z3958,"~","~~"),"*","~*"),"?","~?"),$Z$5:$Z$5004,0)=3954,MAX($AA$4:AA3957)+1,""))</f>
        <v/>
      </c>
    </row>
    <row r="3959" spans="1:27">
      <c r="A3959" s="9"/>
      <c r="Z3959">
        <f>TRIM(A3959&amp;"")</f>
        <v/>
      </c>
      <c r="AA3959">
        <f>IF(Z3959="","",IF(MATCH(SUBSTITUTE(SUBSTITUTE(SUBSTITUTE(Z3959,"~","~~"),"*","~*"),"?","~?"),$Z$5:$Z$5004,0)=3955,MAX($AA$4:AA3958)+1,""))</f>
        <v/>
      </c>
    </row>
    <row r="3960" spans="1:27">
      <c r="A3960" s="9"/>
      <c r="Z3960">
        <f>TRIM(A3960&amp;"")</f>
        <v/>
      </c>
      <c r="AA3960">
        <f>IF(Z3960="","",IF(MATCH(SUBSTITUTE(SUBSTITUTE(SUBSTITUTE(Z3960,"~","~~"),"*","~*"),"?","~?"),$Z$5:$Z$5004,0)=3956,MAX($AA$4:AA3959)+1,""))</f>
        <v/>
      </c>
    </row>
    <row r="3961" spans="1:27">
      <c r="A3961" s="9"/>
      <c r="Z3961">
        <f>TRIM(A3961&amp;"")</f>
        <v/>
      </c>
      <c r="AA3961">
        <f>IF(Z3961="","",IF(MATCH(SUBSTITUTE(SUBSTITUTE(SUBSTITUTE(Z3961,"~","~~"),"*","~*"),"?","~?"),$Z$5:$Z$5004,0)=3957,MAX($AA$4:AA3960)+1,""))</f>
        <v/>
      </c>
    </row>
    <row r="3962" spans="1:27">
      <c r="A3962" s="9"/>
      <c r="Z3962">
        <f>TRIM(A3962&amp;"")</f>
        <v/>
      </c>
      <c r="AA3962">
        <f>IF(Z3962="","",IF(MATCH(SUBSTITUTE(SUBSTITUTE(SUBSTITUTE(Z3962,"~","~~"),"*","~*"),"?","~?"),$Z$5:$Z$5004,0)=3958,MAX($AA$4:AA3961)+1,""))</f>
        <v/>
      </c>
    </row>
    <row r="3963" spans="1:27">
      <c r="A3963" s="9"/>
      <c r="Z3963">
        <f>TRIM(A3963&amp;"")</f>
        <v/>
      </c>
      <c r="AA3963">
        <f>IF(Z3963="","",IF(MATCH(SUBSTITUTE(SUBSTITUTE(SUBSTITUTE(Z3963,"~","~~"),"*","~*"),"?","~?"),$Z$5:$Z$5004,0)=3959,MAX($AA$4:AA3962)+1,""))</f>
        <v/>
      </c>
    </row>
    <row r="3964" spans="1:27">
      <c r="A3964" s="9"/>
      <c r="Z3964">
        <f>TRIM(A3964&amp;"")</f>
        <v/>
      </c>
      <c r="AA3964">
        <f>IF(Z3964="","",IF(MATCH(SUBSTITUTE(SUBSTITUTE(SUBSTITUTE(Z3964,"~","~~"),"*","~*"),"?","~?"),$Z$5:$Z$5004,0)=3960,MAX($AA$4:AA3963)+1,""))</f>
        <v/>
      </c>
    </row>
    <row r="3965" spans="1:27">
      <c r="A3965" s="9"/>
      <c r="Z3965">
        <f>TRIM(A3965&amp;"")</f>
        <v/>
      </c>
      <c r="AA3965">
        <f>IF(Z3965="","",IF(MATCH(SUBSTITUTE(SUBSTITUTE(SUBSTITUTE(Z3965,"~","~~"),"*","~*"),"?","~?"),$Z$5:$Z$5004,0)=3961,MAX($AA$4:AA3964)+1,""))</f>
        <v/>
      </c>
    </row>
    <row r="3966" spans="1:27">
      <c r="A3966" s="9"/>
      <c r="Z3966">
        <f>TRIM(A3966&amp;"")</f>
        <v/>
      </c>
      <c r="AA3966">
        <f>IF(Z3966="","",IF(MATCH(SUBSTITUTE(SUBSTITUTE(SUBSTITUTE(Z3966,"~","~~"),"*","~*"),"?","~?"),$Z$5:$Z$5004,0)=3962,MAX($AA$4:AA3965)+1,""))</f>
        <v/>
      </c>
    </row>
    <row r="3967" spans="1:27">
      <c r="A3967" s="9"/>
      <c r="Z3967">
        <f>TRIM(A3967&amp;"")</f>
        <v/>
      </c>
      <c r="AA3967">
        <f>IF(Z3967="","",IF(MATCH(SUBSTITUTE(SUBSTITUTE(SUBSTITUTE(Z3967,"~","~~"),"*","~*"),"?","~?"),$Z$5:$Z$5004,0)=3963,MAX($AA$4:AA3966)+1,""))</f>
        <v/>
      </c>
    </row>
    <row r="3968" spans="1:27">
      <c r="A3968" s="9"/>
      <c r="Z3968">
        <f>TRIM(A3968&amp;"")</f>
        <v/>
      </c>
      <c r="AA3968">
        <f>IF(Z3968="","",IF(MATCH(SUBSTITUTE(SUBSTITUTE(SUBSTITUTE(Z3968,"~","~~"),"*","~*"),"?","~?"),$Z$5:$Z$5004,0)=3964,MAX($AA$4:AA3967)+1,""))</f>
        <v/>
      </c>
    </row>
    <row r="3969" spans="1:27">
      <c r="A3969" s="9"/>
      <c r="Z3969">
        <f>TRIM(A3969&amp;"")</f>
        <v/>
      </c>
      <c r="AA3969">
        <f>IF(Z3969="","",IF(MATCH(SUBSTITUTE(SUBSTITUTE(SUBSTITUTE(Z3969,"~","~~"),"*","~*"),"?","~?"),$Z$5:$Z$5004,0)=3965,MAX($AA$4:AA3968)+1,""))</f>
        <v/>
      </c>
    </row>
    <row r="3970" spans="1:27">
      <c r="A3970" s="9"/>
      <c r="Z3970">
        <f>TRIM(A3970&amp;"")</f>
        <v/>
      </c>
      <c r="AA3970">
        <f>IF(Z3970="","",IF(MATCH(SUBSTITUTE(SUBSTITUTE(SUBSTITUTE(Z3970,"~","~~"),"*","~*"),"?","~?"),$Z$5:$Z$5004,0)=3966,MAX($AA$4:AA3969)+1,""))</f>
        <v/>
      </c>
    </row>
    <row r="3971" spans="1:27">
      <c r="A3971" s="9"/>
      <c r="Z3971">
        <f>TRIM(A3971&amp;"")</f>
        <v/>
      </c>
      <c r="AA3971">
        <f>IF(Z3971="","",IF(MATCH(SUBSTITUTE(SUBSTITUTE(SUBSTITUTE(Z3971,"~","~~"),"*","~*"),"?","~?"),$Z$5:$Z$5004,0)=3967,MAX($AA$4:AA3970)+1,""))</f>
        <v/>
      </c>
    </row>
    <row r="3972" spans="1:27">
      <c r="A3972" s="9"/>
      <c r="Z3972">
        <f>TRIM(A3972&amp;"")</f>
        <v/>
      </c>
      <c r="AA3972">
        <f>IF(Z3972="","",IF(MATCH(SUBSTITUTE(SUBSTITUTE(SUBSTITUTE(Z3972,"~","~~"),"*","~*"),"?","~?"),$Z$5:$Z$5004,0)=3968,MAX($AA$4:AA3971)+1,""))</f>
        <v/>
      </c>
    </row>
    <row r="3973" spans="1:27">
      <c r="A3973" s="9"/>
      <c r="Z3973">
        <f>TRIM(A3973&amp;"")</f>
        <v/>
      </c>
      <c r="AA3973">
        <f>IF(Z3973="","",IF(MATCH(SUBSTITUTE(SUBSTITUTE(SUBSTITUTE(Z3973,"~","~~"),"*","~*"),"?","~?"),$Z$5:$Z$5004,0)=3969,MAX($AA$4:AA3972)+1,""))</f>
        <v/>
      </c>
    </row>
    <row r="3974" spans="1:27">
      <c r="A3974" s="9"/>
      <c r="Z3974">
        <f>TRIM(A3974&amp;"")</f>
        <v/>
      </c>
      <c r="AA3974">
        <f>IF(Z3974="","",IF(MATCH(SUBSTITUTE(SUBSTITUTE(SUBSTITUTE(Z3974,"~","~~"),"*","~*"),"?","~?"),$Z$5:$Z$5004,0)=3970,MAX($AA$4:AA3973)+1,""))</f>
        <v/>
      </c>
    </row>
    <row r="3975" spans="1:27">
      <c r="A3975" s="9"/>
      <c r="Z3975">
        <f>TRIM(A3975&amp;"")</f>
        <v/>
      </c>
      <c r="AA3975">
        <f>IF(Z3975="","",IF(MATCH(SUBSTITUTE(SUBSTITUTE(SUBSTITUTE(Z3975,"~","~~"),"*","~*"),"?","~?"),$Z$5:$Z$5004,0)=3971,MAX($AA$4:AA3974)+1,""))</f>
        <v/>
      </c>
    </row>
    <row r="3976" spans="1:27">
      <c r="A3976" s="9"/>
      <c r="Z3976">
        <f>TRIM(A3976&amp;"")</f>
        <v/>
      </c>
      <c r="AA3976">
        <f>IF(Z3976="","",IF(MATCH(SUBSTITUTE(SUBSTITUTE(SUBSTITUTE(Z3976,"~","~~"),"*","~*"),"?","~?"),$Z$5:$Z$5004,0)=3972,MAX($AA$4:AA3975)+1,""))</f>
        <v/>
      </c>
    </row>
    <row r="3977" spans="1:27">
      <c r="A3977" s="9"/>
      <c r="Z3977">
        <f>TRIM(A3977&amp;"")</f>
        <v/>
      </c>
      <c r="AA3977">
        <f>IF(Z3977="","",IF(MATCH(SUBSTITUTE(SUBSTITUTE(SUBSTITUTE(Z3977,"~","~~"),"*","~*"),"?","~?"),$Z$5:$Z$5004,0)=3973,MAX($AA$4:AA3976)+1,""))</f>
        <v/>
      </c>
    </row>
    <row r="3978" spans="1:27">
      <c r="A3978" s="9"/>
      <c r="Z3978">
        <f>TRIM(A3978&amp;"")</f>
        <v/>
      </c>
      <c r="AA3978">
        <f>IF(Z3978="","",IF(MATCH(SUBSTITUTE(SUBSTITUTE(SUBSTITUTE(Z3978,"~","~~"),"*","~*"),"?","~?"),$Z$5:$Z$5004,0)=3974,MAX($AA$4:AA3977)+1,""))</f>
        <v/>
      </c>
    </row>
    <row r="3979" spans="1:27">
      <c r="A3979" s="9"/>
      <c r="Z3979">
        <f>TRIM(A3979&amp;"")</f>
        <v/>
      </c>
      <c r="AA3979">
        <f>IF(Z3979="","",IF(MATCH(SUBSTITUTE(SUBSTITUTE(SUBSTITUTE(Z3979,"~","~~"),"*","~*"),"?","~?"),$Z$5:$Z$5004,0)=3975,MAX($AA$4:AA3978)+1,""))</f>
        <v/>
      </c>
    </row>
    <row r="3980" spans="1:27">
      <c r="A3980" s="9"/>
      <c r="Z3980">
        <f>TRIM(A3980&amp;"")</f>
        <v/>
      </c>
      <c r="AA3980">
        <f>IF(Z3980="","",IF(MATCH(SUBSTITUTE(SUBSTITUTE(SUBSTITUTE(Z3980,"~","~~"),"*","~*"),"?","~?"),$Z$5:$Z$5004,0)=3976,MAX($AA$4:AA3979)+1,""))</f>
        <v/>
      </c>
    </row>
    <row r="3981" spans="1:27">
      <c r="A3981" s="9"/>
      <c r="Z3981">
        <f>TRIM(A3981&amp;"")</f>
        <v/>
      </c>
      <c r="AA3981">
        <f>IF(Z3981="","",IF(MATCH(SUBSTITUTE(SUBSTITUTE(SUBSTITUTE(Z3981,"~","~~"),"*","~*"),"?","~?"),$Z$5:$Z$5004,0)=3977,MAX($AA$4:AA3980)+1,""))</f>
        <v/>
      </c>
    </row>
    <row r="3982" spans="1:27">
      <c r="A3982" s="9"/>
      <c r="Z3982">
        <f>TRIM(A3982&amp;"")</f>
        <v/>
      </c>
      <c r="AA3982">
        <f>IF(Z3982="","",IF(MATCH(SUBSTITUTE(SUBSTITUTE(SUBSTITUTE(Z3982,"~","~~"),"*","~*"),"?","~?"),$Z$5:$Z$5004,0)=3978,MAX($AA$4:AA3981)+1,""))</f>
        <v/>
      </c>
    </row>
    <row r="3983" spans="1:27">
      <c r="A3983" s="9"/>
      <c r="Z3983">
        <f>TRIM(A3983&amp;"")</f>
        <v/>
      </c>
      <c r="AA3983">
        <f>IF(Z3983="","",IF(MATCH(SUBSTITUTE(SUBSTITUTE(SUBSTITUTE(Z3983,"~","~~"),"*","~*"),"?","~?"),$Z$5:$Z$5004,0)=3979,MAX($AA$4:AA3982)+1,""))</f>
        <v/>
      </c>
    </row>
    <row r="3984" spans="1:27">
      <c r="A3984" s="9"/>
      <c r="Z3984">
        <f>TRIM(A3984&amp;"")</f>
        <v/>
      </c>
      <c r="AA3984">
        <f>IF(Z3984="","",IF(MATCH(SUBSTITUTE(SUBSTITUTE(SUBSTITUTE(Z3984,"~","~~"),"*","~*"),"?","~?"),$Z$5:$Z$5004,0)=3980,MAX($AA$4:AA3983)+1,""))</f>
        <v/>
      </c>
    </row>
    <row r="3985" spans="1:27">
      <c r="A3985" s="9"/>
      <c r="Z3985">
        <f>TRIM(A3985&amp;"")</f>
        <v/>
      </c>
      <c r="AA3985">
        <f>IF(Z3985="","",IF(MATCH(SUBSTITUTE(SUBSTITUTE(SUBSTITUTE(Z3985,"~","~~"),"*","~*"),"?","~?"),$Z$5:$Z$5004,0)=3981,MAX($AA$4:AA3984)+1,""))</f>
        <v/>
      </c>
    </row>
    <row r="3986" spans="1:27">
      <c r="A3986" s="9"/>
      <c r="Z3986">
        <f>TRIM(A3986&amp;"")</f>
        <v/>
      </c>
      <c r="AA3986">
        <f>IF(Z3986="","",IF(MATCH(SUBSTITUTE(SUBSTITUTE(SUBSTITUTE(Z3986,"~","~~"),"*","~*"),"?","~?"),$Z$5:$Z$5004,0)=3982,MAX($AA$4:AA3985)+1,""))</f>
        <v/>
      </c>
    </row>
    <row r="3987" spans="1:27">
      <c r="A3987" s="9"/>
      <c r="Z3987">
        <f>TRIM(A3987&amp;"")</f>
        <v/>
      </c>
      <c r="AA3987">
        <f>IF(Z3987="","",IF(MATCH(SUBSTITUTE(SUBSTITUTE(SUBSTITUTE(Z3987,"~","~~"),"*","~*"),"?","~?"),$Z$5:$Z$5004,0)=3983,MAX($AA$4:AA3986)+1,""))</f>
        <v/>
      </c>
    </row>
    <row r="3988" spans="1:27">
      <c r="A3988" s="9"/>
      <c r="Z3988">
        <f>TRIM(A3988&amp;"")</f>
        <v/>
      </c>
      <c r="AA3988">
        <f>IF(Z3988="","",IF(MATCH(SUBSTITUTE(SUBSTITUTE(SUBSTITUTE(Z3988,"~","~~"),"*","~*"),"?","~?"),$Z$5:$Z$5004,0)=3984,MAX($AA$4:AA3987)+1,""))</f>
        <v/>
      </c>
    </row>
    <row r="3989" spans="1:27">
      <c r="A3989" s="9"/>
      <c r="Z3989">
        <f>TRIM(A3989&amp;"")</f>
        <v/>
      </c>
      <c r="AA3989">
        <f>IF(Z3989="","",IF(MATCH(SUBSTITUTE(SUBSTITUTE(SUBSTITUTE(Z3989,"~","~~"),"*","~*"),"?","~?"),$Z$5:$Z$5004,0)=3985,MAX($AA$4:AA3988)+1,""))</f>
        <v/>
      </c>
    </row>
    <row r="3990" spans="1:27">
      <c r="A3990" s="9"/>
      <c r="Z3990">
        <f>TRIM(A3990&amp;"")</f>
        <v/>
      </c>
      <c r="AA3990">
        <f>IF(Z3990="","",IF(MATCH(SUBSTITUTE(SUBSTITUTE(SUBSTITUTE(Z3990,"~","~~"),"*","~*"),"?","~?"),$Z$5:$Z$5004,0)=3986,MAX($AA$4:AA3989)+1,""))</f>
        <v/>
      </c>
    </row>
    <row r="3991" spans="1:27">
      <c r="A3991" s="9"/>
      <c r="Z3991">
        <f>TRIM(A3991&amp;"")</f>
        <v/>
      </c>
      <c r="AA3991">
        <f>IF(Z3991="","",IF(MATCH(SUBSTITUTE(SUBSTITUTE(SUBSTITUTE(Z3991,"~","~~"),"*","~*"),"?","~?"),$Z$5:$Z$5004,0)=3987,MAX($AA$4:AA3990)+1,""))</f>
        <v/>
      </c>
    </row>
    <row r="3992" spans="1:27">
      <c r="A3992" s="9"/>
      <c r="Z3992">
        <f>TRIM(A3992&amp;"")</f>
        <v/>
      </c>
      <c r="AA3992">
        <f>IF(Z3992="","",IF(MATCH(SUBSTITUTE(SUBSTITUTE(SUBSTITUTE(Z3992,"~","~~"),"*","~*"),"?","~?"),$Z$5:$Z$5004,0)=3988,MAX($AA$4:AA3991)+1,""))</f>
        <v/>
      </c>
    </row>
    <row r="3993" spans="1:27">
      <c r="A3993" s="9"/>
      <c r="Z3993">
        <f>TRIM(A3993&amp;"")</f>
        <v/>
      </c>
      <c r="AA3993">
        <f>IF(Z3993="","",IF(MATCH(SUBSTITUTE(SUBSTITUTE(SUBSTITUTE(Z3993,"~","~~"),"*","~*"),"?","~?"),$Z$5:$Z$5004,0)=3989,MAX($AA$4:AA3992)+1,""))</f>
        <v/>
      </c>
    </row>
    <row r="3994" spans="1:27">
      <c r="A3994" s="9"/>
      <c r="Z3994">
        <f>TRIM(A3994&amp;"")</f>
        <v/>
      </c>
      <c r="AA3994">
        <f>IF(Z3994="","",IF(MATCH(SUBSTITUTE(SUBSTITUTE(SUBSTITUTE(Z3994,"~","~~"),"*","~*"),"?","~?"),$Z$5:$Z$5004,0)=3990,MAX($AA$4:AA3993)+1,""))</f>
        <v/>
      </c>
    </row>
    <row r="3995" spans="1:27">
      <c r="A3995" s="9"/>
      <c r="Z3995">
        <f>TRIM(A3995&amp;"")</f>
        <v/>
      </c>
      <c r="AA3995">
        <f>IF(Z3995="","",IF(MATCH(SUBSTITUTE(SUBSTITUTE(SUBSTITUTE(Z3995,"~","~~"),"*","~*"),"?","~?"),$Z$5:$Z$5004,0)=3991,MAX($AA$4:AA3994)+1,""))</f>
        <v/>
      </c>
    </row>
    <row r="3996" spans="1:27">
      <c r="A3996" s="9"/>
      <c r="Z3996">
        <f>TRIM(A3996&amp;"")</f>
        <v/>
      </c>
      <c r="AA3996">
        <f>IF(Z3996="","",IF(MATCH(SUBSTITUTE(SUBSTITUTE(SUBSTITUTE(Z3996,"~","~~"),"*","~*"),"?","~?"),$Z$5:$Z$5004,0)=3992,MAX($AA$4:AA3995)+1,""))</f>
        <v/>
      </c>
    </row>
    <row r="3997" spans="1:27">
      <c r="A3997" s="9"/>
      <c r="Z3997">
        <f>TRIM(A3997&amp;"")</f>
        <v/>
      </c>
      <c r="AA3997">
        <f>IF(Z3997="","",IF(MATCH(SUBSTITUTE(SUBSTITUTE(SUBSTITUTE(Z3997,"~","~~"),"*","~*"),"?","~?"),$Z$5:$Z$5004,0)=3993,MAX($AA$4:AA3996)+1,""))</f>
        <v/>
      </c>
    </row>
    <row r="3998" spans="1:27">
      <c r="A3998" s="9"/>
      <c r="Z3998">
        <f>TRIM(A3998&amp;"")</f>
        <v/>
      </c>
      <c r="AA3998">
        <f>IF(Z3998="","",IF(MATCH(SUBSTITUTE(SUBSTITUTE(SUBSTITUTE(Z3998,"~","~~"),"*","~*"),"?","~?"),$Z$5:$Z$5004,0)=3994,MAX($AA$4:AA3997)+1,""))</f>
        <v/>
      </c>
    </row>
    <row r="3999" spans="1:27">
      <c r="A3999" s="9"/>
      <c r="Z3999">
        <f>TRIM(A3999&amp;"")</f>
        <v/>
      </c>
      <c r="AA3999">
        <f>IF(Z3999="","",IF(MATCH(SUBSTITUTE(SUBSTITUTE(SUBSTITUTE(Z3999,"~","~~"),"*","~*"),"?","~?"),$Z$5:$Z$5004,0)=3995,MAX($AA$4:AA3998)+1,""))</f>
        <v/>
      </c>
    </row>
    <row r="4000" spans="1:27">
      <c r="A4000" s="9"/>
      <c r="Z4000">
        <f>TRIM(A4000&amp;"")</f>
        <v/>
      </c>
      <c r="AA4000">
        <f>IF(Z4000="","",IF(MATCH(SUBSTITUTE(SUBSTITUTE(SUBSTITUTE(Z4000,"~","~~"),"*","~*"),"?","~?"),$Z$5:$Z$5004,0)=3996,MAX($AA$4:AA3999)+1,""))</f>
        <v/>
      </c>
    </row>
    <row r="4001" spans="1:27">
      <c r="A4001" s="9"/>
      <c r="Z4001">
        <f>TRIM(A4001&amp;"")</f>
        <v/>
      </c>
      <c r="AA4001">
        <f>IF(Z4001="","",IF(MATCH(SUBSTITUTE(SUBSTITUTE(SUBSTITUTE(Z4001,"~","~~"),"*","~*"),"?","~?"),$Z$5:$Z$5004,0)=3997,MAX($AA$4:AA4000)+1,""))</f>
        <v/>
      </c>
    </row>
    <row r="4002" spans="1:27">
      <c r="A4002" s="9"/>
      <c r="Z4002">
        <f>TRIM(A4002&amp;"")</f>
        <v/>
      </c>
      <c r="AA4002">
        <f>IF(Z4002="","",IF(MATCH(SUBSTITUTE(SUBSTITUTE(SUBSTITUTE(Z4002,"~","~~"),"*","~*"),"?","~?"),$Z$5:$Z$5004,0)=3998,MAX($AA$4:AA4001)+1,""))</f>
        <v/>
      </c>
    </row>
    <row r="4003" spans="1:27">
      <c r="A4003" s="9"/>
      <c r="Z4003">
        <f>TRIM(A4003&amp;"")</f>
        <v/>
      </c>
      <c r="AA4003">
        <f>IF(Z4003="","",IF(MATCH(SUBSTITUTE(SUBSTITUTE(SUBSTITUTE(Z4003,"~","~~"),"*","~*"),"?","~?"),$Z$5:$Z$5004,0)=3999,MAX($AA$4:AA4002)+1,""))</f>
        <v/>
      </c>
    </row>
    <row r="4004" spans="1:27">
      <c r="A4004" s="9"/>
      <c r="Z4004">
        <f>TRIM(A4004&amp;"")</f>
        <v/>
      </c>
      <c r="AA4004">
        <f>IF(Z4004="","",IF(MATCH(SUBSTITUTE(SUBSTITUTE(SUBSTITUTE(Z4004,"~","~~"),"*","~*"),"?","~?"),$Z$5:$Z$5004,0)=4000,MAX($AA$4:AA4003)+1,""))</f>
        <v/>
      </c>
    </row>
    <row r="4005" spans="1:27">
      <c r="A4005" s="9"/>
      <c r="Z4005">
        <f>TRIM(A4005&amp;"")</f>
        <v/>
      </c>
      <c r="AA4005">
        <f>IF(Z4005="","",IF(MATCH(SUBSTITUTE(SUBSTITUTE(SUBSTITUTE(Z4005,"~","~~"),"*","~*"),"?","~?"),$Z$5:$Z$5004,0)=4001,MAX($AA$4:AA4004)+1,""))</f>
        <v/>
      </c>
    </row>
    <row r="4006" spans="1:27">
      <c r="A4006" s="9"/>
      <c r="Z4006">
        <f>TRIM(A4006&amp;"")</f>
        <v/>
      </c>
      <c r="AA4006">
        <f>IF(Z4006="","",IF(MATCH(SUBSTITUTE(SUBSTITUTE(SUBSTITUTE(Z4006,"~","~~"),"*","~*"),"?","~?"),$Z$5:$Z$5004,0)=4002,MAX($AA$4:AA4005)+1,""))</f>
        <v/>
      </c>
    </row>
    <row r="4007" spans="1:27">
      <c r="A4007" s="9"/>
      <c r="Z4007">
        <f>TRIM(A4007&amp;"")</f>
        <v/>
      </c>
      <c r="AA4007">
        <f>IF(Z4007="","",IF(MATCH(SUBSTITUTE(SUBSTITUTE(SUBSTITUTE(Z4007,"~","~~"),"*","~*"),"?","~?"),$Z$5:$Z$5004,0)=4003,MAX($AA$4:AA4006)+1,""))</f>
        <v/>
      </c>
    </row>
    <row r="4008" spans="1:27">
      <c r="A4008" s="9"/>
      <c r="Z4008">
        <f>TRIM(A4008&amp;"")</f>
        <v/>
      </c>
      <c r="AA4008">
        <f>IF(Z4008="","",IF(MATCH(SUBSTITUTE(SUBSTITUTE(SUBSTITUTE(Z4008,"~","~~"),"*","~*"),"?","~?"),$Z$5:$Z$5004,0)=4004,MAX($AA$4:AA4007)+1,""))</f>
        <v/>
      </c>
    </row>
    <row r="4009" spans="1:27">
      <c r="A4009" s="9"/>
      <c r="Z4009">
        <f>TRIM(A4009&amp;"")</f>
        <v/>
      </c>
      <c r="AA4009">
        <f>IF(Z4009="","",IF(MATCH(SUBSTITUTE(SUBSTITUTE(SUBSTITUTE(Z4009,"~","~~"),"*","~*"),"?","~?"),$Z$5:$Z$5004,0)=4005,MAX($AA$4:AA4008)+1,""))</f>
        <v/>
      </c>
    </row>
    <row r="4010" spans="1:27">
      <c r="A4010" s="9"/>
      <c r="Z4010">
        <f>TRIM(A4010&amp;"")</f>
        <v/>
      </c>
      <c r="AA4010">
        <f>IF(Z4010="","",IF(MATCH(SUBSTITUTE(SUBSTITUTE(SUBSTITUTE(Z4010,"~","~~"),"*","~*"),"?","~?"),$Z$5:$Z$5004,0)=4006,MAX($AA$4:AA4009)+1,""))</f>
        <v/>
      </c>
    </row>
    <row r="4011" spans="1:27">
      <c r="A4011" s="9"/>
      <c r="Z4011">
        <f>TRIM(A4011&amp;"")</f>
        <v/>
      </c>
      <c r="AA4011">
        <f>IF(Z4011="","",IF(MATCH(SUBSTITUTE(SUBSTITUTE(SUBSTITUTE(Z4011,"~","~~"),"*","~*"),"?","~?"),$Z$5:$Z$5004,0)=4007,MAX($AA$4:AA4010)+1,""))</f>
        <v/>
      </c>
    </row>
    <row r="4012" spans="1:27">
      <c r="A4012" s="9"/>
      <c r="Z4012">
        <f>TRIM(A4012&amp;"")</f>
        <v/>
      </c>
      <c r="AA4012">
        <f>IF(Z4012="","",IF(MATCH(SUBSTITUTE(SUBSTITUTE(SUBSTITUTE(Z4012,"~","~~"),"*","~*"),"?","~?"),$Z$5:$Z$5004,0)=4008,MAX($AA$4:AA4011)+1,""))</f>
        <v/>
      </c>
    </row>
    <row r="4013" spans="1:27">
      <c r="A4013" s="9"/>
      <c r="Z4013">
        <f>TRIM(A4013&amp;"")</f>
        <v/>
      </c>
      <c r="AA4013">
        <f>IF(Z4013="","",IF(MATCH(SUBSTITUTE(SUBSTITUTE(SUBSTITUTE(Z4013,"~","~~"),"*","~*"),"?","~?"),$Z$5:$Z$5004,0)=4009,MAX($AA$4:AA4012)+1,""))</f>
        <v/>
      </c>
    </row>
    <row r="4014" spans="1:27">
      <c r="A4014" s="9"/>
      <c r="Z4014">
        <f>TRIM(A4014&amp;"")</f>
        <v/>
      </c>
      <c r="AA4014">
        <f>IF(Z4014="","",IF(MATCH(SUBSTITUTE(SUBSTITUTE(SUBSTITUTE(Z4014,"~","~~"),"*","~*"),"?","~?"),$Z$5:$Z$5004,0)=4010,MAX($AA$4:AA4013)+1,""))</f>
        <v/>
      </c>
    </row>
    <row r="4015" spans="1:27">
      <c r="A4015" s="9"/>
      <c r="Z4015">
        <f>TRIM(A4015&amp;"")</f>
        <v/>
      </c>
      <c r="AA4015">
        <f>IF(Z4015="","",IF(MATCH(SUBSTITUTE(SUBSTITUTE(SUBSTITUTE(Z4015,"~","~~"),"*","~*"),"?","~?"),$Z$5:$Z$5004,0)=4011,MAX($AA$4:AA4014)+1,""))</f>
        <v/>
      </c>
    </row>
    <row r="4016" spans="1:27">
      <c r="A4016" s="9"/>
      <c r="Z4016">
        <f>TRIM(A4016&amp;"")</f>
        <v/>
      </c>
      <c r="AA4016">
        <f>IF(Z4016="","",IF(MATCH(SUBSTITUTE(SUBSTITUTE(SUBSTITUTE(Z4016,"~","~~"),"*","~*"),"?","~?"),$Z$5:$Z$5004,0)=4012,MAX($AA$4:AA4015)+1,""))</f>
        <v/>
      </c>
    </row>
    <row r="4017" spans="1:27">
      <c r="A4017" s="9"/>
      <c r="Z4017">
        <f>TRIM(A4017&amp;"")</f>
        <v/>
      </c>
      <c r="AA4017">
        <f>IF(Z4017="","",IF(MATCH(SUBSTITUTE(SUBSTITUTE(SUBSTITUTE(Z4017,"~","~~"),"*","~*"),"?","~?"),$Z$5:$Z$5004,0)=4013,MAX($AA$4:AA4016)+1,""))</f>
        <v/>
      </c>
    </row>
    <row r="4018" spans="1:27">
      <c r="A4018" s="9"/>
      <c r="Z4018">
        <f>TRIM(A4018&amp;"")</f>
        <v/>
      </c>
      <c r="AA4018">
        <f>IF(Z4018="","",IF(MATCH(SUBSTITUTE(SUBSTITUTE(SUBSTITUTE(Z4018,"~","~~"),"*","~*"),"?","~?"),$Z$5:$Z$5004,0)=4014,MAX($AA$4:AA4017)+1,""))</f>
        <v/>
      </c>
    </row>
    <row r="4019" spans="1:27">
      <c r="A4019" s="9"/>
      <c r="Z4019">
        <f>TRIM(A4019&amp;"")</f>
        <v/>
      </c>
      <c r="AA4019">
        <f>IF(Z4019="","",IF(MATCH(SUBSTITUTE(SUBSTITUTE(SUBSTITUTE(Z4019,"~","~~"),"*","~*"),"?","~?"),$Z$5:$Z$5004,0)=4015,MAX($AA$4:AA4018)+1,""))</f>
        <v/>
      </c>
    </row>
    <row r="4020" spans="1:27">
      <c r="A4020" s="9"/>
      <c r="Z4020">
        <f>TRIM(A4020&amp;"")</f>
        <v/>
      </c>
      <c r="AA4020">
        <f>IF(Z4020="","",IF(MATCH(SUBSTITUTE(SUBSTITUTE(SUBSTITUTE(Z4020,"~","~~"),"*","~*"),"?","~?"),$Z$5:$Z$5004,0)=4016,MAX($AA$4:AA4019)+1,""))</f>
        <v/>
      </c>
    </row>
    <row r="4021" spans="1:27">
      <c r="A4021" s="9"/>
      <c r="Z4021">
        <f>TRIM(A4021&amp;"")</f>
        <v/>
      </c>
      <c r="AA4021">
        <f>IF(Z4021="","",IF(MATCH(SUBSTITUTE(SUBSTITUTE(SUBSTITUTE(Z4021,"~","~~"),"*","~*"),"?","~?"),$Z$5:$Z$5004,0)=4017,MAX($AA$4:AA4020)+1,""))</f>
        <v/>
      </c>
    </row>
    <row r="4022" spans="1:27">
      <c r="A4022" s="9"/>
      <c r="Z4022">
        <f>TRIM(A4022&amp;"")</f>
        <v/>
      </c>
      <c r="AA4022">
        <f>IF(Z4022="","",IF(MATCH(SUBSTITUTE(SUBSTITUTE(SUBSTITUTE(Z4022,"~","~~"),"*","~*"),"?","~?"),$Z$5:$Z$5004,0)=4018,MAX($AA$4:AA4021)+1,""))</f>
        <v/>
      </c>
    </row>
    <row r="4023" spans="1:27">
      <c r="A4023" s="9"/>
      <c r="Z4023">
        <f>TRIM(A4023&amp;"")</f>
        <v/>
      </c>
      <c r="AA4023">
        <f>IF(Z4023="","",IF(MATCH(SUBSTITUTE(SUBSTITUTE(SUBSTITUTE(Z4023,"~","~~"),"*","~*"),"?","~?"),$Z$5:$Z$5004,0)=4019,MAX($AA$4:AA4022)+1,""))</f>
        <v/>
      </c>
    </row>
    <row r="4024" spans="1:27">
      <c r="A4024" s="9"/>
      <c r="Z4024">
        <f>TRIM(A4024&amp;"")</f>
        <v/>
      </c>
      <c r="AA4024">
        <f>IF(Z4024="","",IF(MATCH(SUBSTITUTE(SUBSTITUTE(SUBSTITUTE(Z4024,"~","~~"),"*","~*"),"?","~?"),$Z$5:$Z$5004,0)=4020,MAX($AA$4:AA4023)+1,""))</f>
        <v/>
      </c>
    </row>
    <row r="4025" spans="1:27">
      <c r="A4025" s="9"/>
      <c r="Z4025">
        <f>TRIM(A4025&amp;"")</f>
        <v/>
      </c>
      <c r="AA4025">
        <f>IF(Z4025="","",IF(MATCH(SUBSTITUTE(SUBSTITUTE(SUBSTITUTE(Z4025,"~","~~"),"*","~*"),"?","~?"),$Z$5:$Z$5004,0)=4021,MAX($AA$4:AA4024)+1,""))</f>
        <v/>
      </c>
    </row>
    <row r="4026" spans="1:27">
      <c r="A4026" s="9"/>
      <c r="Z4026">
        <f>TRIM(A4026&amp;"")</f>
        <v/>
      </c>
      <c r="AA4026">
        <f>IF(Z4026="","",IF(MATCH(SUBSTITUTE(SUBSTITUTE(SUBSTITUTE(Z4026,"~","~~"),"*","~*"),"?","~?"),$Z$5:$Z$5004,0)=4022,MAX($AA$4:AA4025)+1,""))</f>
        <v/>
      </c>
    </row>
    <row r="4027" spans="1:27">
      <c r="A4027" s="9"/>
      <c r="Z4027">
        <f>TRIM(A4027&amp;"")</f>
        <v/>
      </c>
      <c r="AA4027">
        <f>IF(Z4027="","",IF(MATCH(SUBSTITUTE(SUBSTITUTE(SUBSTITUTE(Z4027,"~","~~"),"*","~*"),"?","~?"),$Z$5:$Z$5004,0)=4023,MAX($AA$4:AA4026)+1,""))</f>
        <v/>
      </c>
    </row>
    <row r="4028" spans="1:27">
      <c r="A4028" s="9"/>
      <c r="Z4028">
        <f>TRIM(A4028&amp;"")</f>
        <v/>
      </c>
      <c r="AA4028">
        <f>IF(Z4028="","",IF(MATCH(SUBSTITUTE(SUBSTITUTE(SUBSTITUTE(Z4028,"~","~~"),"*","~*"),"?","~?"),$Z$5:$Z$5004,0)=4024,MAX($AA$4:AA4027)+1,""))</f>
        <v/>
      </c>
    </row>
    <row r="4029" spans="1:27">
      <c r="A4029" s="9"/>
      <c r="Z4029">
        <f>TRIM(A4029&amp;"")</f>
        <v/>
      </c>
      <c r="AA4029">
        <f>IF(Z4029="","",IF(MATCH(SUBSTITUTE(SUBSTITUTE(SUBSTITUTE(Z4029,"~","~~"),"*","~*"),"?","~?"),$Z$5:$Z$5004,0)=4025,MAX($AA$4:AA4028)+1,""))</f>
        <v/>
      </c>
    </row>
    <row r="4030" spans="1:27">
      <c r="A4030" s="9"/>
      <c r="Z4030">
        <f>TRIM(A4030&amp;"")</f>
        <v/>
      </c>
      <c r="AA4030">
        <f>IF(Z4030="","",IF(MATCH(SUBSTITUTE(SUBSTITUTE(SUBSTITUTE(Z4030,"~","~~"),"*","~*"),"?","~?"),$Z$5:$Z$5004,0)=4026,MAX($AA$4:AA4029)+1,""))</f>
        <v/>
      </c>
    </row>
    <row r="4031" spans="1:27">
      <c r="A4031" s="9"/>
      <c r="Z4031">
        <f>TRIM(A4031&amp;"")</f>
        <v/>
      </c>
      <c r="AA4031">
        <f>IF(Z4031="","",IF(MATCH(SUBSTITUTE(SUBSTITUTE(SUBSTITUTE(Z4031,"~","~~"),"*","~*"),"?","~?"),$Z$5:$Z$5004,0)=4027,MAX($AA$4:AA4030)+1,""))</f>
        <v/>
      </c>
    </row>
    <row r="4032" spans="1:27">
      <c r="A4032" s="9"/>
      <c r="Z4032">
        <f>TRIM(A4032&amp;"")</f>
        <v/>
      </c>
      <c r="AA4032">
        <f>IF(Z4032="","",IF(MATCH(SUBSTITUTE(SUBSTITUTE(SUBSTITUTE(Z4032,"~","~~"),"*","~*"),"?","~?"),$Z$5:$Z$5004,0)=4028,MAX($AA$4:AA4031)+1,""))</f>
        <v/>
      </c>
    </row>
    <row r="4033" spans="1:27">
      <c r="A4033" s="9"/>
      <c r="Z4033">
        <f>TRIM(A4033&amp;"")</f>
        <v/>
      </c>
      <c r="AA4033">
        <f>IF(Z4033="","",IF(MATCH(SUBSTITUTE(SUBSTITUTE(SUBSTITUTE(Z4033,"~","~~"),"*","~*"),"?","~?"),$Z$5:$Z$5004,0)=4029,MAX($AA$4:AA4032)+1,""))</f>
        <v/>
      </c>
    </row>
    <row r="4034" spans="1:27">
      <c r="A4034" s="9"/>
      <c r="Z4034">
        <f>TRIM(A4034&amp;"")</f>
        <v/>
      </c>
      <c r="AA4034">
        <f>IF(Z4034="","",IF(MATCH(SUBSTITUTE(SUBSTITUTE(SUBSTITUTE(Z4034,"~","~~"),"*","~*"),"?","~?"),$Z$5:$Z$5004,0)=4030,MAX($AA$4:AA4033)+1,""))</f>
        <v/>
      </c>
    </row>
    <row r="4035" spans="1:27">
      <c r="A4035" s="9"/>
      <c r="Z4035">
        <f>TRIM(A4035&amp;"")</f>
        <v/>
      </c>
      <c r="AA4035">
        <f>IF(Z4035="","",IF(MATCH(SUBSTITUTE(SUBSTITUTE(SUBSTITUTE(Z4035,"~","~~"),"*","~*"),"?","~?"),$Z$5:$Z$5004,0)=4031,MAX($AA$4:AA4034)+1,""))</f>
        <v/>
      </c>
    </row>
    <row r="4036" spans="1:27">
      <c r="A4036" s="9"/>
      <c r="Z4036">
        <f>TRIM(A4036&amp;"")</f>
        <v/>
      </c>
      <c r="AA4036">
        <f>IF(Z4036="","",IF(MATCH(SUBSTITUTE(SUBSTITUTE(SUBSTITUTE(Z4036,"~","~~"),"*","~*"),"?","~?"),$Z$5:$Z$5004,0)=4032,MAX($AA$4:AA4035)+1,""))</f>
        <v/>
      </c>
    </row>
    <row r="4037" spans="1:27">
      <c r="A4037" s="9"/>
      <c r="Z4037">
        <f>TRIM(A4037&amp;"")</f>
        <v/>
      </c>
      <c r="AA4037">
        <f>IF(Z4037="","",IF(MATCH(SUBSTITUTE(SUBSTITUTE(SUBSTITUTE(Z4037,"~","~~"),"*","~*"),"?","~?"),$Z$5:$Z$5004,0)=4033,MAX($AA$4:AA4036)+1,""))</f>
        <v/>
      </c>
    </row>
    <row r="4038" spans="1:27">
      <c r="A4038" s="9"/>
      <c r="Z4038">
        <f>TRIM(A4038&amp;"")</f>
        <v/>
      </c>
      <c r="AA4038">
        <f>IF(Z4038="","",IF(MATCH(SUBSTITUTE(SUBSTITUTE(SUBSTITUTE(Z4038,"~","~~"),"*","~*"),"?","~?"),$Z$5:$Z$5004,0)=4034,MAX($AA$4:AA4037)+1,""))</f>
        <v/>
      </c>
    </row>
    <row r="4039" spans="1:27">
      <c r="A4039" s="9"/>
      <c r="Z4039">
        <f>TRIM(A4039&amp;"")</f>
        <v/>
      </c>
      <c r="AA4039">
        <f>IF(Z4039="","",IF(MATCH(SUBSTITUTE(SUBSTITUTE(SUBSTITUTE(Z4039,"~","~~"),"*","~*"),"?","~?"),$Z$5:$Z$5004,0)=4035,MAX($AA$4:AA4038)+1,""))</f>
        <v/>
      </c>
    </row>
    <row r="4040" spans="1:27">
      <c r="A4040" s="9"/>
      <c r="Z4040">
        <f>TRIM(A4040&amp;"")</f>
        <v/>
      </c>
      <c r="AA4040">
        <f>IF(Z4040="","",IF(MATCH(SUBSTITUTE(SUBSTITUTE(SUBSTITUTE(Z4040,"~","~~"),"*","~*"),"?","~?"),$Z$5:$Z$5004,0)=4036,MAX($AA$4:AA4039)+1,""))</f>
        <v/>
      </c>
    </row>
    <row r="4041" spans="1:27">
      <c r="A4041" s="9"/>
      <c r="Z4041">
        <f>TRIM(A4041&amp;"")</f>
        <v/>
      </c>
      <c r="AA4041">
        <f>IF(Z4041="","",IF(MATCH(SUBSTITUTE(SUBSTITUTE(SUBSTITUTE(Z4041,"~","~~"),"*","~*"),"?","~?"),$Z$5:$Z$5004,0)=4037,MAX($AA$4:AA4040)+1,""))</f>
        <v/>
      </c>
    </row>
    <row r="4042" spans="1:27">
      <c r="A4042" s="9"/>
      <c r="Z4042">
        <f>TRIM(A4042&amp;"")</f>
        <v/>
      </c>
      <c r="AA4042">
        <f>IF(Z4042="","",IF(MATCH(SUBSTITUTE(SUBSTITUTE(SUBSTITUTE(Z4042,"~","~~"),"*","~*"),"?","~?"),$Z$5:$Z$5004,0)=4038,MAX($AA$4:AA4041)+1,""))</f>
        <v/>
      </c>
    </row>
    <row r="4043" spans="1:27">
      <c r="A4043" s="9"/>
      <c r="Z4043">
        <f>TRIM(A4043&amp;"")</f>
        <v/>
      </c>
      <c r="AA4043">
        <f>IF(Z4043="","",IF(MATCH(SUBSTITUTE(SUBSTITUTE(SUBSTITUTE(Z4043,"~","~~"),"*","~*"),"?","~?"),$Z$5:$Z$5004,0)=4039,MAX($AA$4:AA4042)+1,""))</f>
        <v/>
      </c>
    </row>
    <row r="4044" spans="1:27">
      <c r="A4044" s="9"/>
      <c r="Z4044">
        <f>TRIM(A4044&amp;"")</f>
        <v/>
      </c>
      <c r="AA4044">
        <f>IF(Z4044="","",IF(MATCH(SUBSTITUTE(SUBSTITUTE(SUBSTITUTE(Z4044,"~","~~"),"*","~*"),"?","~?"),$Z$5:$Z$5004,0)=4040,MAX($AA$4:AA4043)+1,""))</f>
        <v/>
      </c>
    </row>
    <row r="4045" spans="1:27">
      <c r="A4045" s="9"/>
      <c r="Z4045">
        <f>TRIM(A4045&amp;"")</f>
        <v/>
      </c>
      <c r="AA4045">
        <f>IF(Z4045="","",IF(MATCH(SUBSTITUTE(SUBSTITUTE(SUBSTITUTE(Z4045,"~","~~"),"*","~*"),"?","~?"),$Z$5:$Z$5004,0)=4041,MAX($AA$4:AA4044)+1,""))</f>
        <v/>
      </c>
    </row>
    <row r="4046" spans="1:27">
      <c r="A4046" s="9"/>
      <c r="Z4046">
        <f>TRIM(A4046&amp;"")</f>
        <v/>
      </c>
      <c r="AA4046">
        <f>IF(Z4046="","",IF(MATCH(SUBSTITUTE(SUBSTITUTE(SUBSTITUTE(Z4046,"~","~~"),"*","~*"),"?","~?"),$Z$5:$Z$5004,0)=4042,MAX($AA$4:AA4045)+1,""))</f>
        <v/>
      </c>
    </row>
    <row r="4047" spans="1:27">
      <c r="A4047" s="9"/>
      <c r="Z4047">
        <f>TRIM(A4047&amp;"")</f>
        <v/>
      </c>
      <c r="AA4047">
        <f>IF(Z4047="","",IF(MATCH(SUBSTITUTE(SUBSTITUTE(SUBSTITUTE(Z4047,"~","~~"),"*","~*"),"?","~?"),$Z$5:$Z$5004,0)=4043,MAX($AA$4:AA4046)+1,""))</f>
        <v/>
      </c>
    </row>
    <row r="4048" spans="1:27">
      <c r="A4048" s="9"/>
      <c r="Z4048">
        <f>TRIM(A4048&amp;"")</f>
        <v/>
      </c>
      <c r="AA4048">
        <f>IF(Z4048="","",IF(MATCH(SUBSTITUTE(SUBSTITUTE(SUBSTITUTE(Z4048,"~","~~"),"*","~*"),"?","~?"),$Z$5:$Z$5004,0)=4044,MAX($AA$4:AA4047)+1,""))</f>
        <v/>
      </c>
    </row>
    <row r="4049" spans="1:27">
      <c r="A4049" s="9"/>
      <c r="Z4049">
        <f>TRIM(A4049&amp;"")</f>
        <v/>
      </c>
      <c r="AA4049">
        <f>IF(Z4049="","",IF(MATCH(SUBSTITUTE(SUBSTITUTE(SUBSTITUTE(Z4049,"~","~~"),"*","~*"),"?","~?"),$Z$5:$Z$5004,0)=4045,MAX($AA$4:AA4048)+1,""))</f>
        <v/>
      </c>
    </row>
    <row r="4050" spans="1:27">
      <c r="A4050" s="9"/>
      <c r="Z4050">
        <f>TRIM(A4050&amp;"")</f>
        <v/>
      </c>
      <c r="AA4050">
        <f>IF(Z4050="","",IF(MATCH(SUBSTITUTE(SUBSTITUTE(SUBSTITUTE(Z4050,"~","~~"),"*","~*"),"?","~?"),$Z$5:$Z$5004,0)=4046,MAX($AA$4:AA4049)+1,""))</f>
        <v/>
      </c>
    </row>
    <row r="4051" spans="1:27">
      <c r="A4051" s="9"/>
      <c r="Z4051">
        <f>TRIM(A4051&amp;"")</f>
        <v/>
      </c>
      <c r="AA4051">
        <f>IF(Z4051="","",IF(MATCH(SUBSTITUTE(SUBSTITUTE(SUBSTITUTE(Z4051,"~","~~"),"*","~*"),"?","~?"),$Z$5:$Z$5004,0)=4047,MAX($AA$4:AA4050)+1,""))</f>
        <v/>
      </c>
    </row>
    <row r="4052" spans="1:27">
      <c r="A4052" s="9"/>
      <c r="Z4052">
        <f>TRIM(A4052&amp;"")</f>
        <v/>
      </c>
      <c r="AA4052">
        <f>IF(Z4052="","",IF(MATCH(SUBSTITUTE(SUBSTITUTE(SUBSTITUTE(Z4052,"~","~~"),"*","~*"),"?","~?"),$Z$5:$Z$5004,0)=4048,MAX($AA$4:AA4051)+1,""))</f>
        <v/>
      </c>
    </row>
    <row r="4053" spans="1:27">
      <c r="A4053" s="9"/>
      <c r="Z4053">
        <f>TRIM(A4053&amp;"")</f>
        <v/>
      </c>
      <c r="AA4053">
        <f>IF(Z4053="","",IF(MATCH(SUBSTITUTE(SUBSTITUTE(SUBSTITUTE(Z4053,"~","~~"),"*","~*"),"?","~?"),$Z$5:$Z$5004,0)=4049,MAX($AA$4:AA4052)+1,""))</f>
        <v/>
      </c>
    </row>
    <row r="4054" spans="1:27">
      <c r="A4054" s="9"/>
      <c r="Z4054">
        <f>TRIM(A4054&amp;"")</f>
        <v/>
      </c>
      <c r="AA4054">
        <f>IF(Z4054="","",IF(MATCH(SUBSTITUTE(SUBSTITUTE(SUBSTITUTE(Z4054,"~","~~"),"*","~*"),"?","~?"),$Z$5:$Z$5004,0)=4050,MAX($AA$4:AA4053)+1,""))</f>
        <v/>
      </c>
    </row>
    <row r="4055" spans="1:27">
      <c r="A4055" s="9"/>
      <c r="Z4055">
        <f>TRIM(A4055&amp;"")</f>
        <v/>
      </c>
      <c r="AA4055">
        <f>IF(Z4055="","",IF(MATCH(SUBSTITUTE(SUBSTITUTE(SUBSTITUTE(Z4055,"~","~~"),"*","~*"),"?","~?"),$Z$5:$Z$5004,0)=4051,MAX($AA$4:AA4054)+1,""))</f>
        <v/>
      </c>
    </row>
    <row r="4056" spans="1:27">
      <c r="A4056" s="9"/>
      <c r="Z4056">
        <f>TRIM(A4056&amp;"")</f>
        <v/>
      </c>
      <c r="AA4056">
        <f>IF(Z4056="","",IF(MATCH(SUBSTITUTE(SUBSTITUTE(SUBSTITUTE(Z4056,"~","~~"),"*","~*"),"?","~?"),$Z$5:$Z$5004,0)=4052,MAX($AA$4:AA4055)+1,""))</f>
        <v/>
      </c>
    </row>
    <row r="4057" spans="1:27">
      <c r="A4057" s="9"/>
      <c r="Z4057">
        <f>TRIM(A4057&amp;"")</f>
        <v/>
      </c>
      <c r="AA4057">
        <f>IF(Z4057="","",IF(MATCH(SUBSTITUTE(SUBSTITUTE(SUBSTITUTE(Z4057,"~","~~"),"*","~*"),"?","~?"),$Z$5:$Z$5004,0)=4053,MAX($AA$4:AA4056)+1,""))</f>
        <v/>
      </c>
    </row>
    <row r="4058" spans="1:27">
      <c r="A4058" s="9"/>
      <c r="Z4058">
        <f>TRIM(A4058&amp;"")</f>
        <v/>
      </c>
      <c r="AA4058">
        <f>IF(Z4058="","",IF(MATCH(SUBSTITUTE(SUBSTITUTE(SUBSTITUTE(Z4058,"~","~~"),"*","~*"),"?","~?"),$Z$5:$Z$5004,0)=4054,MAX($AA$4:AA4057)+1,""))</f>
        <v/>
      </c>
    </row>
    <row r="4059" spans="1:27">
      <c r="A4059" s="9"/>
      <c r="Z4059">
        <f>TRIM(A4059&amp;"")</f>
        <v/>
      </c>
      <c r="AA4059">
        <f>IF(Z4059="","",IF(MATCH(SUBSTITUTE(SUBSTITUTE(SUBSTITUTE(Z4059,"~","~~"),"*","~*"),"?","~?"),$Z$5:$Z$5004,0)=4055,MAX($AA$4:AA4058)+1,""))</f>
        <v/>
      </c>
    </row>
    <row r="4060" spans="1:27">
      <c r="A4060" s="9"/>
      <c r="Z4060">
        <f>TRIM(A4060&amp;"")</f>
        <v/>
      </c>
      <c r="AA4060">
        <f>IF(Z4060="","",IF(MATCH(SUBSTITUTE(SUBSTITUTE(SUBSTITUTE(Z4060,"~","~~"),"*","~*"),"?","~?"),$Z$5:$Z$5004,0)=4056,MAX($AA$4:AA4059)+1,""))</f>
        <v/>
      </c>
    </row>
    <row r="4061" spans="1:27">
      <c r="A4061" s="9"/>
      <c r="Z4061">
        <f>TRIM(A4061&amp;"")</f>
        <v/>
      </c>
      <c r="AA4061">
        <f>IF(Z4061="","",IF(MATCH(SUBSTITUTE(SUBSTITUTE(SUBSTITUTE(Z4061,"~","~~"),"*","~*"),"?","~?"),$Z$5:$Z$5004,0)=4057,MAX($AA$4:AA4060)+1,""))</f>
        <v/>
      </c>
    </row>
    <row r="4062" spans="1:27">
      <c r="A4062" s="9"/>
      <c r="Z4062">
        <f>TRIM(A4062&amp;"")</f>
        <v/>
      </c>
      <c r="AA4062">
        <f>IF(Z4062="","",IF(MATCH(SUBSTITUTE(SUBSTITUTE(SUBSTITUTE(Z4062,"~","~~"),"*","~*"),"?","~?"),$Z$5:$Z$5004,0)=4058,MAX($AA$4:AA4061)+1,""))</f>
        <v/>
      </c>
    </row>
    <row r="4063" spans="1:27">
      <c r="A4063" s="9"/>
      <c r="Z4063">
        <f>TRIM(A4063&amp;"")</f>
        <v/>
      </c>
      <c r="AA4063">
        <f>IF(Z4063="","",IF(MATCH(SUBSTITUTE(SUBSTITUTE(SUBSTITUTE(Z4063,"~","~~"),"*","~*"),"?","~?"),$Z$5:$Z$5004,0)=4059,MAX($AA$4:AA4062)+1,""))</f>
        <v/>
      </c>
    </row>
    <row r="4064" spans="1:27">
      <c r="A4064" s="9"/>
      <c r="Z4064">
        <f>TRIM(A4064&amp;"")</f>
        <v/>
      </c>
      <c r="AA4064">
        <f>IF(Z4064="","",IF(MATCH(SUBSTITUTE(SUBSTITUTE(SUBSTITUTE(Z4064,"~","~~"),"*","~*"),"?","~?"),$Z$5:$Z$5004,0)=4060,MAX($AA$4:AA4063)+1,""))</f>
        <v/>
      </c>
    </row>
    <row r="4065" spans="1:27">
      <c r="A4065" s="9"/>
      <c r="Z4065">
        <f>TRIM(A4065&amp;"")</f>
        <v/>
      </c>
      <c r="AA4065">
        <f>IF(Z4065="","",IF(MATCH(SUBSTITUTE(SUBSTITUTE(SUBSTITUTE(Z4065,"~","~~"),"*","~*"),"?","~?"),$Z$5:$Z$5004,0)=4061,MAX($AA$4:AA4064)+1,""))</f>
        <v/>
      </c>
    </row>
    <row r="4066" spans="1:27">
      <c r="A4066" s="9"/>
      <c r="Z4066">
        <f>TRIM(A4066&amp;"")</f>
        <v/>
      </c>
      <c r="AA4066">
        <f>IF(Z4066="","",IF(MATCH(SUBSTITUTE(SUBSTITUTE(SUBSTITUTE(Z4066,"~","~~"),"*","~*"),"?","~?"),$Z$5:$Z$5004,0)=4062,MAX($AA$4:AA4065)+1,""))</f>
        <v/>
      </c>
    </row>
    <row r="4067" spans="1:27">
      <c r="A4067" s="9"/>
      <c r="Z4067">
        <f>TRIM(A4067&amp;"")</f>
        <v/>
      </c>
      <c r="AA4067">
        <f>IF(Z4067="","",IF(MATCH(SUBSTITUTE(SUBSTITUTE(SUBSTITUTE(Z4067,"~","~~"),"*","~*"),"?","~?"),$Z$5:$Z$5004,0)=4063,MAX($AA$4:AA4066)+1,""))</f>
        <v/>
      </c>
    </row>
    <row r="4068" spans="1:27">
      <c r="A4068" s="9"/>
      <c r="Z4068">
        <f>TRIM(A4068&amp;"")</f>
        <v/>
      </c>
      <c r="AA4068">
        <f>IF(Z4068="","",IF(MATCH(SUBSTITUTE(SUBSTITUTE(SUBSTITUTE(Z4068,"~","~~"),"*","~*"),"?","~?"),$Z$5:$Z$5004,0)=4064,MAX($AA$4:AA4067)+1,""))</f>
        <v/>
      </c>
    </row>
    <row r="4069" spans="1:27">
      <c r="A4069" s="9"/>
      <c r="Z4069">
        <f>TRIM(A4069&amp;"")</f>
        <v/>
      </c>
      <c r="AA4069">
        <f>IF(Z4069="","",IF(MATCH(SUBSTITUTE(SUBSTITUTE(SUBSTITUTE(Z4069,"~","~~"),"*","~*"),"?","~?"),$Z$5:$Z$5004,0)=4065,MAX($AA$4:AA4068)+1,""))</f>
        <v/>
      </c>
    </row>
    <row r="4070" spans="1:27">
      <c r="A4070" s="9"/>
      <c r="Z4070">
        <f>TRIM(A4070&amp;"")</f>
        <v/>
      </c>
      <c r="AA4070">
        <f>IF(Z4070="","",IF(MATCH(SUBSTITUTE(SUBSTITUTE(SUBSTITUTE(Z4070,"~","~~"),"*","~*"),"?","~?"),$Z$5:$Z$5004,0)=4066,MAX($AA$4:AA4069)+1,""))</f>
        <v/>
      </c>
    </row>
    <row r="4071" spans="1:27">
      <c r="A4071" s="9"/>
      <c r="Z4071">
        <f>TRIM(A4071&amp;"")</f>
        <v/>
      </c>
      <c r="AA4071">
        <f>IF(Z4071="","",IF(MATCH(SUBSTITUTE(SUBSTITUTE(SUBSTITUTE(Z4071,"~","~~"),"*","~*"),"?","~?"),$Z$5:$Z$5004,0)=4067,MAX($AA$4:AA4070)+1,""))</f>
        <v/>
      </c>
    </row>
    <row r="4072" spans="1:27">
      <c r="A4072" s="9"/>
      <c r="Z4072">
        <f>TRIM(A4072&amp;"")</f>
        <v/>
      </c>
      <c r="AA4072">
        <f>IF(Z4072="","",IF(MATCH(SUBSTITUTE(SUBSTITUTE(SUBSTITUTE(Z4072,"~","~~"),"*","~*"),"?","~?"),$Z$5:$Z$5004,0)=4068,MAX($AA$4:AA4071)+1,""))</f>
        <v/>
      </c>
    </row>
    <row r="4073" spans="1:27">
      <c r="A4073" s="9"/>
      <c r="Z4073">
        <f>TRIM(A4073&amp;"")</f>
        <v/>
      </c>
      <c r="AA4073">
        <f>IF(Z4073="","",IF(MATCH(SUBSTITUTE(SUBSTITUTE(SUBSTITUTE(Z4073,"~","~~"),"*","~*"),"?","~?"),$Z$5:$Z$5004,0)=4069,MAX($AA$4:AA4072)+1,""))</f>
        <v/>
      </c>
    </row>
    <row r="4074" spans="1:27">
      <c r="A4074" s="9"/>
      <c r="Z4074">
        <f>TRIM(A4074&amp;"")</f>
        <v/>
      </c>
      <c r="AA4074">
        <f>IF(Z4074="","",IF(MATCH(SUBSTITUTE(SUBSTITUTE(SUBSTITUTE(Z4074,"~","~~"),"*","~*"),"?","~?"),$Z$5:$Z$5004,0)=4070,MAX($AA$4:AA4073)+1,""))</f>
        <v/>
      </c>
    </row>
    <row r="4075" spans="1:27">
      <c r="A4075" s="9"/>
      <c r="Z4075">
        <f>TRIM(A4075&amp;"")</f>
        <v/>
      </c>
      <c r="AA4075">
        <f>IF(Z4075="","",IF(MATCH(SUBSTITUTE(SUBSTITUTE(SUBSTITUTE(Z4075,"~","~~"),"*","~*"),"?","~?"),$Z$5:$Z$5004,0)=4071,MAX($AA$4:AA4074)+1,""))</f>
        <v/>
      </c>
    </row>
    <row r="4076" spans="1:27">
      <c r="A4076" s="9"/>
      <c r="Z4076">
        <f>TRIM(A4076&amp;"")</f>
        <v/>
      </c>
      <c r="AA4076">
        <f>IF(Z4076="","",IF(MATCH(SUBSTITUTE(SUBSTITUTE(SUBSTITUTE(Z4076,"~","~~"),"*","~*"),"?","~?"),$Z$5:$Z$5004,0)=4072,MAX($AA$4:AA4075)+1,""))</f>
        <v/>
      </c>
    </row>
    <row r="4077" spans="1:27">
      <c r="A4077" s="9"/>
      <c r="Z4077">
        <f>TRIM(A4077&amp;"")</f>
        <v/>
      </c>
      <c r="AA4077">
        <f>IF(Z4077="","",IF(MATCH(SUBSTITUTE(SUBSTITUTE(SUBSTITUTE(Z4077,"~","~~"),"*","~*"),"?","~?"),$Z$5:$Z$5004,0)=4073,MAX($AA$4:AA4076)+1,""))</f>
        <v/>
      </c>
    </row>
    <row r="4078" spans="1:27">
      <c r="A4078" s="9"/>
      <c r="Z4078">
        <f>TRIM(A4078&amp;"")</f>
        <v/>
      </c>
      <c r="AA4078">
        <f>IF(Z4078="","",IF(MATCH(SUBSTITUTE(SUBSTITUTE(SUBSTITUTE(Z4078,"~","~~"),"*","~*"),"?","~?"),$Z$5:$Z$5004,0)=4074,MAX($AA$4:AA4077)+1,""))</f>
        <v/>
      </c>
    </row>
    <row r="4079" spans="1:27">
      <c r="A4079" s="9"/>
      <c r="Z4079">
        <f>TRIM(A4079&amp;"")</f>
        <v/>
      </c>
      <c r="AA4079">
        <f>IF(Z4079="","",IF(MATCH(SUBSTITUTE(SUBSTITUTE(SUBSTITUTE(Z4079,"~","~~"),"*","~*"),"?","~?"),$Z$5:$Z$5004,0)=4075,MAX($AA$4:AA4078)+1,""))</f>
        <v/>
      </c>
    </row>
    <row r="4080" spans="1:27">
      <c r="A4080" s="9"/>
      <c r="Z4080">
        <f>TRIM(A4080&amp;"")</f>
        <v/>
      </c>
      <c r="AA4080">
        <f>IF(Z4080="","",IF(MATCH(SUBSTITUTE(SUBSTITUTE(SUBSTITUTE(Z4080,"~","~~"),"*","~*"),"?","~?"),$Z$5:$Z$5004,0)=4076,MAX($AA$4:AA4079)+1,""))</f>
        <v/>
      </c>
    </row>
    <row r="4081" spans="1:27">
      <c r="A4081" s="9"/>
      <c r="Z4081">
        <f>TRIM(A4081&amp;"")</f>
        <v/>
      </c>
      <c r="AA4081">
        <f>IF(Z4081="","",IF(MATCH(SUBSTITUTE(SUBSTITUTE(SUBSTITUTE(Z4081,"~","~~"),"*","~*"),"?","~?"),$Z$5:$Z$5004,0)=4077,MAX($AA$4:AA4080)+1,""))</f>
        <v/>
      </c>
    </row>
    <row r="4082" spans="1:27">
      <c r="A4082" s="9"/>
      <c r="Z4082">
        <f>TRIM(A4082&amp;"")</f>
        <v/>
      </c>
      <c r="AA4082">
        <f>IF(Z4082="","",IF(MATCH(SUBSTITUTE(SUBSTITUTE(SUBSTITUTE(Z4082,"~","~~"),"*","~*"),"?","~?"),$Z$5:$Z$5004,0)=4078,MAX($AA$4:AA4081)+1,""))</f>
        <v/>
      </c>
    </row>
    <row r="4083" spans="1:27">
      <c r="A4083" s="9"/>
      <c r="Z4083">
        <f>TRIM(A4083&amp;"")</f>
        <v/>
      </c>
      <c r="AA4083">
        <f>IF(Z4083="","",IF(MATCH(SUBSTITUTE(SUBSTITUTE(SUBSTITUTE(Z4083,"~","~~"),"*","~*"),"?","~?"),$Z$5:$Z$5004,0)=4079,MAX($AA$4:AA4082)+1,""))</f>
        <v/>
      </c>
    </row>
    <row r="4084" spans="1:27">
      <c r="A4084" s="9"/>
      <c r="Z4084">
        <f>TRIM(A4084&amp;"")</f>
        <v/>
      </c>
      <c r="AA4084">
        <f>IF(Z4084="","",IF(MATCH(SUBSTITUTE(SUBSTITUTE(SUBSTITUTE(Z4084,"~","~~"),"*","~*"),"?","~?"),$Z$5:$Z$5004,0)=4080,MAX($AA$4:AA4083)+1,""))</f>
        <v/>
      </c>
    </row>
    <row r="4085" spans="1:27">
      <c r="A4085" s="9"/>
      <c r="Z4085">
        <f>TRIM(A4085&amp;"")</f>
        <v/>
      </c>
      <c r="AA4085">
        <f>IF(Z4085="","",IF(MATCH(SUBSTITUTE(SUBSTITUTE(SUBSTITUTE(Z4085,"~","~~"),"*","~*"),"?","~?"),$Z$5:$Z$5004,0)=4081,MAX($AA$4:AA4084)+1,""))</f>
        <v/>
      </c>
    </row>
    <row r="4086" spans="1:27">
      <c r="A4086" s="9"/>
      <c r="Z4086">
        <f>TRIM(A4086&amp;"")</f>
        <v/>
      </c>
      <c r="AA4086">
        <f>IF(Z4086="","",IF(MATCH(SUBSTITUTE(SUBSTITUTE(SUBSTITUTE(Z4086,"~","~~"),"*","~*"),"?","~?"),$Z$5:$Z$5004,0)=4082,MAX($AA$4:AA4085)+1,""))</f>
        <v/>
      </c>
    </row>
    <row r="4087" spans="1:27">
      <c r="A4087" s="9"/>
      <c r="Z4087">
        <f>TRIM(A4087&amp;"")</f>
        <v/>
      </c>
      <c r="AA4087">
        <f>IF(Z4087="","",IF(MATCH(SUBSTITUTE(SUBSTITUTE(SUBSTITUTE(Z4087,"~","~~"),"*","~*"),"?","~?"),$Z$5:$Z$5004,0)=4083,MAX($AA$4:AA4086)+1,""))</f>
        <v/>
      </c>
    </row>
    <row r="4088" spans="1:27">
      <c r="A4088" s="9"/>
      <c r="Z4088">
        <f>TRIM(A4088&amp;"")</f>
        <v/>
      </c>
      <c r="AA4088">
        <f>IF(Z4088="","",IF(MATCH(SUBSTITUTE(SUBSTITUTE(SUBSTITUTE(Z4088,"~","~~"),"*","~*"),"?","~?"),$Z$5:$Z$5004,0)=4084,MAX($AA$4:AA4087)+1,""))</f>
        <v/>
      </c>
    </row>
    <row r="4089" spans="1:27">
      <c r="A4089" s="9"/>
      <c r="Z4089">
        <f>TRIM(A4089&amp;"")</f>
        <v/>
      </c>
      <c r="AA4089">
        <f>IF(Z4089="","",IF(MATCH(SUBSTITUTE(SUBSTITUTE(SUBSTITUTE(Z4089,"~","~~"),"*","~*"),"?","~?"),$Z$5:$Z$5004,0)=4085,MAX($AA$4:AA4088)+1,""))</f>
        <v/>
      </c>
    </row>
    <row r="4090" spans="1:27">
      <c r="A4090" s="9"/>
      <c r="Z4090">
        <f>TRIM(A4090&amp;"")</f>
        <v/>
      </c>
      <c r="AA4090">
        <f>IF(Z4090="","",IF(MATCH(SUBSTITUTE(SUBSTITUTE(SUBSTITUTE(Z4090,"~","~~"),"*","~*"),"?","~?"),$Z$5:$Z$5004,0)=4086,MAX($AA$4:AA4089)+1,""))</f>
        <v/>
      </c>
    </row>
    <row r="4091" spans="1:27">
      <c r="A4091" s="9"/>
      <c r="Z4091">
        <f>TRIM(A4091&amp;"")</f>
        <v/>
      </c>
      <c r="AA4091">
        <f>IF(Z4091="","",IF(MATCH(SUBSTITUTE(SUBSTITUTE(SUBSTITUTE(Z4091,"~","~~"),"*","~*"),"?","~?"),$Z$5:$Z$5004,0)=4087,MAX($AA$4:AA4090)+1,""))</f>
        <v/>
      </c>
    </row>
    <row r="4092" spans="1:27">
      <c r="A4092" s="9"/>
      <c r="Z4092">
        <f>TRIM(A4092&amp;"")</f>
        <v/>
      </c>
      <c r="AA4092">
        <f>IF(Z4092="","",IF(MATCH(SUBSTITUTE(SUBSTITUTE(SUBSTITUTE(Z4092,"~","~~"),"*","~*"),"?","~?"),$Z$5:$Z$5004,0)=4088,MAX($AA$4:AA4091)+1,""))</f>
        <v/>
      </c>
    </row>
    <row r="4093" spans="1:27">
      <c r="A4093" s="9"/>
      <c r="Z4093">
        <f>TRIM(A4093&amp;"")</f>
        <v/>
      </c>
      <c r="AA4093">
        <f>IF(Z4093="","",IF(MATCH(SUBSTITUTE(SUBSTITUTE(SUBSTITUTE(Z4093,"~","~~"),"*","~*"),"?","~?"),$Z$5:$Z$5004,0)=4089,MAX($AA$4:AA4092)+1,""))</f>
        <v/>
      </c>
    </row>
    <row r="4094" spans="1:27">
      <c r="A4094" s="9"/>
      <c r="Z4094">
        <f>TRIM(A4094&amp;"")</f>
        <v/>
      </c>
      <c r="AA4094">
        <f>IF(Z4094="","",IF(MATCH(SUBSTITUTE(SUBSTITUTE(SUBSTITUTE(Z4094,"~","~~"),"*","~*"),"?","~?"),$Z$5:$Z$5004,0)=4090,MAX($AA$4:AA4093)+1,""))</f>
        <v/>
      </c>
    </row>
    <row r="4095" spans="1:27">
      <c r="A4095" s="9"/>
      <c r="Z4095">
        <f>TRIM(A4095&amp;"")</f>
        <v/>
      </c>
      <c r="AA4095">
        <f>IF(Z4095="","",IF(MATCH(SUBSTITUTE(SUBSTITUTE(SUBSTITUTE(Z4095,"~","~~"),"*","~*"),"?","~?"),$Z$5:$Z$5004,0)=4091,MAX($AA$4:AA4094)+1,""))</f>
        <v/>
      </c>
    </row>
    <row r="4096" spans="1:27">
      <c r="A4096" s="9"/>
      <c r="Z4096">
        <f>TRIM(A4096&amp;"")</f>
        <v/>
      </c>
      <c r="AA4096">
        <f>IF(Z4096="","",IF(MATCH(SUBSTITUTE(SUBSTITUTE(SUBSTITUTE(Z4096,"~","~~"),"*","~*"),"?","~?"),$Z$5:$Z$5004,0)=4092,MAX($AA$4:AA4095)+1,""))</f>
        <v/>
      </c>
    </row>
    <row r="4097" spans="1:27">
      <c r="A4097" s="9"/>
      <c r="Z4097">
        <f>TRIM(A4097&amp;"")</f>
        <v/>
      </c>
      <c r="AA4097">
        <f>IF(Z4097="","",IF(MATCH(SUBSTITUTE(SUBSTITUTE(SUBSTITUTE(Z4097,"~","~~"),"*","~*"),"?","~?"),$Z$5:$Z$5004,0)=4093,MAX($AA$4:AA4096)+1,""))</f>
        <v/>
      </c>
    </row>
    <row r="4098" spans="1:27">
      <c r="A4098" s="9"/>
      <c r="Z4098">
        <f>TRIM(A4098&amp;"")</f>
        <v/>
      </c>
      <c r="AA4098">
        <f>IF(Z4098="","",IF(MATCH(SUBSTITUTE(SUBSTITUTE(SUBSTITUTE(Z4098,"~","~~"),"*","~*"),"?","~?"),$Z$5:$Z$5004,0)=4094,MAX($AA$4:AA4097)+1,""))</f>
        <v/>
      </c>
    </row>
    <row r="4099" spans="1:27">
      <c r="A4099" s="9"/>
      <c r="Z4099">
        <f>TRIM(A4099&amp;"")</f>
        <v/>
      </c>
      <c r="AA4099">
        <f>IF(Z4099="","",IF(MATCH(SUBSTITUTE(SUBSTITUTE(SUBSTITUTE(Z4099,"~","~~"),"*","~*"),"?","~?"),$Z$5:$Z$5004,0)=4095,MAX($AA$4:AA4098)+1,""))</f>
        <v/>
      </c>
    </row>
    <row r="4100" spans="1:27">
      <c r="A4100" s="9"/>
      <c r="Z4100">
        <f>TRIM(A4100&amp;"")</f>
        <v/>
      </c>
      <c r="AA4100">
        <f>IF(Z4100="","",IF(MATCH(SUBSTITUTE(SUBSTITUTE(SUBSTITUTE(Z4100,"~","~~"),"*","~*"),"?","~?"),$Z$5:$Z$5004,0)=4096,MAX($AA$4:AA4099)+1,""))</f>
        <v/>
      </c>
    </row>
    <row r="4101" spans="1:27">
      <c r="A4101" s="9"/>
      <c r="Z4101">
        <f>TRIM(A4101&amp;"")</f>
        <v/>
      </c>
      <c r="AA4101">
        <f>IF(Z4101="","",IF(MATCH(SUBSTITUTE(SUBSTITUTE(SUBSTITUTE(Z4101,"~","~~"),"*","~*"),"?","~?"),$Z$5:$Z$5004,0)=4097,MAX($AA$4:AA4100)+1,""))</f>
        <v/>
      </c>
    </row>
    <row r="4102" spans="1:27">
      <c r="A4102" s="9"/>
      <c r="Z4102">
        <f>TRIM(A4102&amp;"")</f>
        <v/>
      </c>
      <c r="AA4102">
        <f>IF(Z4102="","",IF(MATCH(SUBSTITUTE(SUBSTITUTE(SUBSTITUTE(Z4102,"~","~~"),"*","~*"),"?","~?"),$Z$5:$Z$5004,0)=4098,MAX($AA$4:AA4101)+1,""))</f>
        <v/>
      </c>
    </row>
    <row r="4103" spans="1:27">
      <c r="A4103" s="9"/>
      <c r="Z4103">
        <f>TRIM(A4103&amp;"")</f>
        <v/>
      </c>
      <c r="AA4103">
        <f>IF(Z4103="","",IF(MATCH(SUBSTITUTE(SUBSTITUTE(SUBSTITUTE(Z4103,"~","~~"),"*","~*"),"?","~?"),$Z$5:$Z$5004,0)=4099,MAX($AA$4:AA4102)+1,""))</f>
        <v/>
      </c>
    </row>
    <row r="4104" spans="1:27">
      <c r="A4104" s="9"/>
      <c r="Z4104">
        <f>TRIM(A4104&amp;"")</f>
        <v/>
      </c>
      <c r="AA4104">
        <f>IF(Z4104="","",IF(MATCH(SUBSTITUTE(SUBSTITUTE(SUBSTITUTE(Z4104,"~","~~"),"*","~*"),"?","~?"),$Z$5:$Z$5004,0)=4100,MAX($AA$4:AA4103)+1,""))</f>
        <v/>
      </c>
    </row>
    <row r="4105" spans="1:27">
      <c r="A4105" s="9"/>
      <c r="Z4105">
        <f>TRIM(A4105&amp;"")</f>
        <v/>
      </c>
      <c r="AA4105">
        <f>IF(Z4105="","",IF(MATCH(SUBSTITUTE(SUBSTITUTE(SUBSTITUTE(Z4105,"~","~~"),"*","~*"),"?","~?"),$Z$5:$Z$5004,0)=4101,MAX($AA$4:AA4104)+1,""))</f>
        <v/>
      </c>
    </row>
    <row r="4106" spans="1:27">
      <c r="A4106" s="9"/>
      <c r="Z4106">
        <f>TRIM(A4106&amp;"")</f>
        <v/>
      </c>
      <c r="AA4106">
        <f>IF(Z4106="","",IF(MATCH(SUBSTITUTE(SUBSTITUTE(SUBSTITUTE(Z4106,"~","~~"),"*","~*"),"?","~?"),$Z$5:$Z$5004,0)=4102,MAX($AA$4:AA4105)+1,""))</f>
        <v/>
      </c>
    </row>
    <row r="4107" spans="1:27">
      <c r="A4107" s="9"/>
      <c r="Z4107">
        <f>TRIM(A4107&amp;"")</f>
        <v/>
      </c>
      <c r="AA4107">
        <f>IF(Z4107="","",IF(MATCH(SUBSTITUTE(SUBSTITUTE(SUBSTITUTE(Z4107,"~","~~"),"*","~*"),"?","~?"),$Z$5:$Z$5004,0)=4103,MAX($AA$4:AA4106)+1,""))</f>
        <v/>
      </c>
    </row>
    <row r="4108" spans="1:27">
      <c r="A4108" s="9"/>
      <c r="Z4108">
        <f>TRIM(A4108&amp;"")</f>
        <v/>
      </c>
      <c r="AA4108">
        <f>IF(Z4108="","",IF(MATCH(SUBSTITUTE(SUBSTITUTE(SUBSTITUTE(Z4108,"~","~~"),"*","~*"),"?","~?"),$Z$5:$Z$5004,0)=4104,MAX($AA$4:AA4107)+1,""))</f>
        <v/>
      </c>
    </row>
    <row r="4109" spans="1:27">
      <c r="A4109" s="9"/>
      <c r="Z4109">
        <f>TRIM(A4109&amp;"")</f>
        <v/>
      </c>
      <c r="AA4109">
        <f>IF(Z4109="","",IF(MATCH(SUBSTITUTE(SUBSTITUTE(SUBSTITUTE(Z4109,"~","~~"),"*","~*"),"?","~?"),$Z$5:$Z$5004,0)=4105,MAX($AA$4:AA4108)+1,""))</f>
        <v/>
      </c>
    </row>
    <row r="4110" spans="1:27">
      <c r="A4110" s="9"/>
      <c r="Z4110">
        <f>TRIM(A4110&amp;"")</f>
        <v/>
      </c>
      <c r="AA4110">
        <f>IF(Z4110="","",IF(MATCH(SUBSTITUTE(SUBSTITUTE(SUBSTITUTE(Z4110,"~","~~"),"*","~*"),"?","~?"),$Z$5:$Z$5004,0)=4106,MAX($AA$4:AA4109)+1,""))</f>
        <v/>
      </c>
    </row>
    <row r="4111" spans="1:27">
      <c r="A4111" s="9"/>
      <c r="Z4111">
        <f>TRIM(A4111&amp;"")</f>
        <v/>
      </c>
      <c r="AA4111">
        <f>IF(Z4111="","",IF(MATCH(SUBSTITUTE(SUBSTITUTE(SUBSTITUTE(Z4111,"~","~~"),"*","~*"),"?","~?"),$Z$5:$Z$5004,0)=4107,MAX($AA$4:AA4110)+1,""))</f>
        <v/>
      </c>
    </row>
    <row r="4112" spans="1:27">
      <c r="A4112" s="9"/>
      <c r="Z4112">
        <f>TRIM(A4112&amp;"")</f>
        <v/>
      </c>
      <c r="AA4112">
        <f>IF(Z4112="","",IF(MATCH(SUBSTITUTE(SUBSTITUTE(SUBSTITUTE(Z4112,"~","~~"),"*","~*"),"?","~?"),$Z$5:$Z$5004,0)=4108,MAX($AA$4:AA4111)+1,""))</f>
        <v/>
      </c>
    </row>
    <row r="4113" spans="1:27">
      <c r="A4113" s="9"/>
      <c r="Z4113">
        <f>TRIM(A4113&amp;"")</f>
        <v/>
      </c>
      <c r="AA4113">
        <f>IF(Z4113="","",IF(MATCH(SUBSTITUTE(SUBSTITUTE(SUBSTITUTE(Z4113,"~","~~"),"*","~*"),"?","~?"),$Z$5:$Z$5004,0)=4109,MAX($AA$4:AA4112)+1,""))</f>
        <v/>
      </c>
    </row>
    <row r="4114" spans="1:27">
      <c r="A4114" s="9"/>
      <c r="Z4114">
        <f>TRIM(A4114&amp;"")</f>
        <v/>
      </c>
      <c r="AA4114">
        <f>IF(Z4114="","",IF(MATCH(SUBSTITUTE(SUBSTITUTE(SUBSTITUTE(Z4114,"~","~~"),"*","~*"),"?","~?"),$Z$5:$Z$5004,0)=4110,MAX($AA$4:AA4113)+1,""))</f>
        <v/>
      </c>
    </row>
    <row r="4115" spans="1:27">
      <c r="A4115" s="9"/>
      <c r="Z4115">
        <f>TRIM(A4115&amp;"")</f>
        <v/>
      </c>
      <c r="AA4115">
        <f>IF(Z4115="","",IF(MATCH(SUBSTITUTE(SUBSTITUTE(SUBSTITUTE(Z4115,"~","~~"),"*","~*"),"?","~?"),$Z$5:$Z$5004,0)=4111,MAX($AA$4:AA4114)+1,""))</f>
        <v/>
      </c>
    </row>
    <row r="4116" spans="1:27">
      <c r="A4116" s="9"/>
      <c r="Z4116">
        <f>TRIM(A4116&amp;"")</f>
        <v/>
      </c>
      <c r="AA4116">
        <f>IF(Z4116="","",IF(MATCH(SUBSTITUTE(SUBSTITUTE(SUBSTITUTE(Z4116,"~","~~"),"*","~*"),"?","~?"),$Z$5:$Z$5004,0)=4112,MAX($AA$4:AA4115)+1,""))</f>
        <v/>
      </c>
    </row>
    <row r="4117" spans="1:27">
      <c r="A4117" s="9"/>
      <c r="Z4117">
        <f>TRIM(A4117&amp;"")</f>
        <v/>
      </c>
      <c r="AA4117">
        <f>IF(Z4117="","",IF(MATCH(SUBSTITUTE(SUBSTITUTE(SUBSTITUTE(Z4117,"~","~~"),"*","~*"),"?","~?"),$Z$5:$Z$5004,0)=4113,MAX($AA$4:AA4116)+1,""))</f>
        <v/>
      </c>
    </row>
    <row r="4118" spans="1:27">
      <c r="A4118" s="9"/>
      <c r="Z4118">
        <f>TRIM(A4118&amp;"")</f>
        <v/>
      </c>
      <c r="AA4118">
        <f>IF(Z4118="","",IF(MATCH(SUBSTITUTE(SUBSTITUTE(SUBSTITUTE(Z4118,"~","~~"),"*","~*"),"?","~?"),$Z$5:$Z$5004,0)=4114,MAX($AA$4:AA4117)+1,""))</f>
        <v/>
      </c>
    </row>
    <row r="4119" spans="1:27">
      <c r="A4119" s="9"/>
      <c r="Z4119">
        <f>TRIM(A4119&amp;"")</f>
        <v/>
      </c>
      <c r="AA4119">
        <f>IF(Z4119="","",IF(MATCH(SUBSTITUTE(SUBSTITUTE(SUBSTITUTE(Z4119,"~","~~"),"*","~*"),"?","~?"),$Z$5:$Z$5004,0)=4115,MAX($AA$4:AA4118)+1,""))</f>
        <v/>
      </c>
    </row>
    <row r="4120" spans="1:27">
      <c r="A4120" s="9"/>
      <c r="Z4120">
        <f>TRIM(A4120&amp;"")</f>
        <v/>
      </c>
      <c r="AA4120">
        <f>IF(Z4120="","",IF(MATCH(SUBSTITUTE(SUBSTITUTE(SUBSTITUTE(Z4120,"~","~~"),"*","~*"),"?","~?"),$Z$5:$Z$5004,0)=4116,MAX($AA$4:AA4119)+1,""))</f>
        <v/>
      </c>
    </row>
    <row r="4121" spans="1:27">
      <c r="A4121" s="9"/>
      <c r="Z4121">
        <f>TRIM(A4121&amp;"")</f>
        <v/>
      </c>
      <c r="AA4121">
        <f>IF(Z4121="","",IF(MATCH(SUBSTITUTE(SUBSTITUTE(SUBSTITUTE(Z4121,"~","~~"),"*","~*"),"?","~?"),$Z$5:$Z$5004,0)=4117,MAX($AA$4:AA4120)+1,""))</f>
        <v/>
      </c>
    </row>
    <row r="4122" spans="1:27">
      <c r="A4122" s="9"/>
      <c r="Z4122">
        <f>TRIM(A4122&amp;"")</f>
        <v/>
      </c>
      <c r="AA4122">
        <f>IF(Z4122="","",IF(MATCH(SUBSTITUTE(SUBSTITUTE(SUBSTITUTE(Z4122,"~","~~"),"*","~*"),"?","~?"),$Z$5:$Z$5004,0)=4118,MAX($AA$4:AA4121)+1,""))</f>
        <v/>
      </c>
    </row>
    <row r="4123" spans="1:27">
      <c r="A4123" s="9"/>
      <c r="Z4123">
        <f>TRIM(A4123&amp;"")</f>
        <v/>
      </c>
      <c r="AA4123">
        <f>IF(Z4123="","",IF(MATCH(SUBSTITUTE(SUBSTITUTE(SUBSTITUTE(Z4123,"~","~~"),"*","~*"),"?","~?"),$Z$5:$Z$5004,0)=4119,MAX($AA$4:AA4122)+1,""))</f>
        <v/>
      </c>
    </row>
    <row r="4124" spans="1:27">
      <c r="A4124" s="9"/>
      <c r="Z4124">
        <f>TRIM(A4124&amp;"")</f>
        <v/>
      </c>
      <c r="AA4124">
        <f>IF(Z4124="","",IF(MATCH(SUBSTITUTE(SUBSTITUTE(SUBSTITUTE(Z4124,"~","~~"),"*","~*"),"?","~?"),$Z$5:$Z$5004,0)=4120,MAX($AA$4:AA4123)+1,""))</f>
        <v/>
      </c>
    </row>
    <row r="4125" spans="1:27">
      <c r="A4125" s="9"/>
      <c r="Z4125">
        <f>TRIM(A4125&amp;"")</f>
        <v/>
      </c>
      <c r="AA4125">
        <f>IF(Z4125="","",IF(MATCH(SUBSTITUTE(SUBSTITUTE(SUBSTITUTE(Z4125,"~","~~"),"*","~*"),"?","~?"),$Z$5:$Z$5004,0)=4121,MAX($AA$4:AA4124)+1,""))</f>
        <v/>
      </c>
    </row>
    <row r="4126" spans="1:27">
      <c r="A4126" s="9"/>
      <c r="Z4126">
        <f>TRIM(A4126&amp;"")</f>
        <v/>
      </c>
      <c r="AA4126">
        <f>IF(Z4126="","",IF(MATCH(SUBSTITUTE(SUBSTITUTE(SUBSTITUTE(Z4126,"~","~~"),"*","~*"),"?","~?"),$Z$5:$Z$5004,0)=4122,MAX($AA$4:AA4125)+1,""))</f>
        <v/>
      </c>
    </row>
    <row r="4127" spans="1:27">
      <c r="A4127" s="9"/>
      <c r="Z4127">
        <f>TRIM(A4127&amp;"")</f>
        <v/>
      </c>
      <c r="AA4127">
        <f>IF(Z4127="","",IF(MATCH(SUBSTITUTE(SUBSTITUTE(SUBSTITUTE(Z4127,"~","~~"),"*","~*"),"?","~?"),$Z$5:$Z$5004,0)=4123,MAX($AA$4:AA4126)+1,""))</f>
        <v/>
      </c>
    </row>
    <row r="4128" spans="1:27">
      <c r="A4128" s="9"/>
      <c r="Z4128">
        <f>TRIM(A4128&amp;"")</f>
        <v/>
      </c>
      <c r="AA4128">
        <f>IF(Z4128="","",IF(MATCH(SUBSTITUTE(SUBSTITUTE(SUBSTITUTE(Z4128,"~","~~"),"*","~*"),"?","~?"),$Z$5:$Z$5004,0)=4124,MAX($AA$4:AA4127)+1,""))</f>
        <v/>
      </c>
    </row>
    <row r="4129" spans="1:27">
      <c r="A4129" s="9"/>
      <c r="Z4129">
        <f>TRIM(A4129&amp;"")</f>
        <v/>
      </c>
      <c r="AA4129">
        <f>IF(Z4129="","",IF(MATCH(SUBSTITUTE(SUBSTITUTE(SUBSTITUTE(Z4129,"~","~~"),"*","~*"),"?","~?"),$Z$5:$Z$5004,0)=4125,MAX($AA$4:AA4128)+1,""))</f>
        <v/>
      </c>
    </row>
    <row r="4130" spans="1:27">
      <c r="A4130" s="9"/>
      <c r="Z4130">
        <f>TRIM(A4130&amp;"")</f>
        <v/>
      </c>
      <c r="AA4130">
        <f>IF(Z4130="","",IF(MATCH(SUBSTITUTE(SUBSTITUTE(SUBSTITUTE(Z4130,"~","~~"),"*","~*"),"?","~?"),$Z$5:$Z$5004,0)=4126,MAX($AA$4:AA4129)+1,""))</f>
        <v/>
      </c>
    </row>
    <row r="4131" spans="1:27">
      <c r="A4131" s="9"/>
      <c r="Z4131">
        <f>TRIM(A4131&amp;"")</f>
        <v/>
      </c>
      <c r="AA4131">
        <f>IF(Z4131="","",IF(MATCH(SUBSTITUTE(SUBSTITUTE(SUBSTITUTE(Z4131,"~","~~"),"*","~*"),"?","~?"),$Z$5:$Z$5004,0)=4127,MAX($AA$4:AA4130)+1,""))</f>
        <v/>
      </c>
    </row>
    <row r="4132" spans="1:27">
      <c r="A4132" s="9"/>
      <c r="Z4132">
        <f>TRIM(A4132&amp;"")</f>
        <v/>
      </c>
      <c r="AA4132">
        <f>IF(Z4132="","",IF(MATCH(SUBSTITUTE(SUBSTITUTE(SUBSTITUTE(Z4132,"~","~~"),"*","~*"),"?","~?"),$Z$5:$Z$5004,0)=4128,MAX($AA$4:AA4131)+1,""))</f>
        <v/>
      </c>
    </row>
    <row r="4133" spans="1:27">
      <c r="A4133" s="9"/>
      <c r="Z4133">
        <f>TRIM(A4133&amp;"")</f>
        <v/>
      </c>
      <c r="AA4133">
        <f>IF(Z4133="","",IF(MATCH(SUBSTITUTE(SUBSTITUTE(SUBSTITUTE(Z4133,"~","~~"),"*","~*"),"?","~?"),$Z$5:$Z$5004,0)=4129,MAX($AA$4:AA4132)+1,""))</f>
        <v/>
      </c>
    </row>
    <row r="4134" spans="1:27">
      <c r="A4134" s="9"/>
      <c r="Z4134">
        <f>TRIM(A4134&amp;"")</f>
        <v/>
      </c>
      <c r="AA4134">
        <f>IF(Z4134="","",IF(MATCH(SUBSTITUTE(SUBSTITUTE(SUBSTITUTE(Z4134,"~","~~"),"*","~*"),"?","~?"),$Z$5:$Z$5004,0)=4130,MAX($AA$4:AA4133)+1,""))</f>
        <v/>
      </c>
    </row>
    <row r="4135" spans="1:27">
      <c r="A4135" s="9"/>
      <c r="Z4135">
        <f>TRIM(A4135&amp;"")</f>
        <v/>
      </c>
      <c r="AA4135">
        <f>IF(Z4135="","",IF(MATCH(SUBSTITUTE(SUBSTITUTE(SUBSTITUTE(Z4135,"~","~~"),"*","~*"),"?","~?"),$Z$5:$Z$5004,0)=4131,MAX($AA$4:AA4134)+1,""))</f>
        <v/>
      </c>
    </row>
    <row r="4136" spans="1:27">
      <c r="A4136" s="9"/>
      <c r="Z4136">
        <f>TRIM(A4136&amp;"")</f>
        <v/>
      </c>
      <c r="AA4136">
        <f>IF(Z4136="","",IF(MATCH(SUBSTITUTE(SUBSTITUTE(SUBSTITUTE(Z4136,"~","~~"),"*","~*"),"?","~?"),$Z$5:$Z$5004,0)=4132,MAX($AA$4:AA4135)+1,""))</f>
        <v/>
      </c>
    </row>
    <row r="4137" spans="1:27">
      <c r="A4137" s="9"/>
      <c r="Z4137">
        <f>TRIM(A4137&amp;"")</f>
        <v/>
      </c>
      <c r="AA4137">
        <f>IF(Z4137="","",IF(MATCH(SUBSTITUTE(SUBSTITUTE(SUBSTITUTE(Z4137,"~","~~"),"*","~*"),"?","~?"),$Z$5:$Z$5004,0)=4133,MAX($AA$4:AA4136)+1,""))</f>
        <v/>
      </c>
    </row>
    <row r="4138" spans="1:27">
      <c r="A4138" s="9"/>
      <c r="Z4138">
        <f>TRIM(A4138&amp;"")</f>
        <v/>
      </c>
      <c r="AA4138">
        <f>IF(Z4138="","",IF(MATCH(SUBSTITUTE(SUBSTITUTE(SUBSTITUTE(Z4138,"~","~~"),"*","~*"),"?","~?"),$Z$5:$Z$5004,0)=4134,MAX($AA$4:AA4137)+1,""))</f>
        <v/>
      </c>
    </row>
    <row r="4139" spans="1:27">
      <c r="A4139" s="9"/>
      <c r="Z4139">
        <f>TRIM(A4139&amp;"")</f>
        <v/>
      </c>
      <c r="AA4139">
        <f>IF(Z4139="","",IF(MATCH(SUBSTITUTE(SUBSTITUTE(SUBSTITUTE(Z4139,"~","~~"),"*","~*"),"?","~?"),$Z$5:$Z$5004,0)=4135,MAX($AA$4:AA4138)+1,""))</f>
        <v/>
      </c>
    </row>
    <row r="4140" spans="1:27">
      <c r="A4140" s="9"/>
      <c r="Z4140">
        <f>TRIM(A4140&amp;"")</f>
        <v/>
      </c>
      <c r="AA4140">
        <f>IF(Z4140="","",IF(MATCH(SUBSTITUTE(SUBSTITUTE(SUBSTITUTE(Z4140,"~","~~"),"*","~*"),"?","~?"),$Z$5:$Z$5004,0)=4136,MAX($AA$4:AA4139)+1,""))</f>
        <v/>
      </c>
    </row>
    <row r="4141" spans="1:27">
      <c r="A4141" s="9"/>
      <c r="Z4141">
        <f>TRIM(A4141&amp;"")</f>
        <v/>
      </c>
      <c r="AA4141">
        <f>IF(Z4141="","",IF(MATCH(SUBSTITUTE(SUBSTITUTE(SUBSTITUTE(Z4141,"~","~~"),"*","~*"),"?","~?"),$Z$5:$Z$5004,0)=4137,MAX($AA$4:AA4140)+1,""))</f>
        <v/>
      </c>
    </row>
    <row r="4142" spans="1:27">
      <c r="A4142" s="9"/>
      <c r="Z4142">
        <f>TRIM(A4142&amp;"")</f>
        <v/>
      </c>
      <c r="AA4142">
        <f>IF(Z4142="","",IF(MATCH(SUBSTITUTE(SUBSTITUTE(SUBSTITUTE(Z4142,"~","~~"),"*","~*"),"?","~?"),$Z$5:$Z$5004,0)=4138,MAX($AA$4:AA4141)+1,""))</f>
        <v/>
      </c>
    </row>
    <row r="4143" spans="1:27">
      <c r="A4143" s="9"/>
      <c r="Z4143">
        <f>TRIM(A4143&amp;"")</f>
        <v/>
      </c>
      <c r="AA4143">
        <f>IF(Z4143="","",IF(MATCH(SUBSTITUTE(SUBSTITUTE(SUBSTITUTE(Z4143,"~","~~"),"*","~*"),"?","~?"),$Z$5:$Z$5004,0)=4139,MAX($AA$4:AA4142)+1,""))</f>
        <v/>
      </c>
    </row>
    <row r="4144" spans="1:27">
      <c r="A4144" s="9"/>
      <c r="Z4144">
        <f>TRIM(A4144&amp;"")</f>
        <v/>
      </c>
      <c r="AA4144">
        <f>IF(Z4144="","",IF(MATCH(SUBSTITUTE(SUBSTITUTE(SUBSTITUTE(Z4144,"~","~~"),"*","~*"),"?","~?"),$Z$5:$Z$5004,0)=4140,MAX($AA$4:AA4143)+1,""))</f>
        <v/>
      </c>
    </row>
    <row r="4145" spans="1:27">
      <c r="A4145" s="9"/>
      <c r="Z4145">
        <f>TRIM(A4145&amp;"")</f>
        <v/>
      </c>
      <c r="AA4145">
        <f>IF(Z4145="","",IF(MATCH(SUBSTITUTE(SUBSTITUTE(SUBSTITUTE(Z4145,"~","~~"),"*","~*"),"?","~?"),$Z$5:$Z$5004,0)=4141,MAX($AA$4:AA4144)+1,""))</f>
        <v/>
      </c>
    </row>
    <row r="4146" spans="1:27">
      <c r="A4146" s="9"/>
      <c r="Z4146">
        <f>TRIM(A4146&amp;"")</f>
        <v/>
      </c>
      <c r="AA4146">
        <f>IF(Z4146="","",IF(MATCH(SUBSTITUTE(SUBSTITUTE(SUBSTITUTE(Z4146,"~","~~"),"*","~*"),"?","~?"),$Z$5:$Z$5004,0)=4142,MAX($AA$4:AA4145)+1,""))</f>
        <v/>
      </c>
    </row>
    <row r="4147" spans="1:27">
      <c r="A4147" s="9"/>
      <c r="Z4147">
        <f>TRIM(A4147&amp;"")</f>
        <v/>
      </c>
      <c r="AA4147">
        <f>IF(Z4147="","",IF(MATCH(SUBSTITUTE(SUBSTITUTE(SUBSTITUTE(Z4147,"~","~~"),"*","~*"),"?","~?"),$Z$5:$Z$5004,0)=4143,MAX($AA$4:AA4146)+1,""))</f>
        <v/>
      </c>
    </row>
    <row r="4148" spans="1:27">
      <c r="A4148" s="9"/>
      <c r="Z4148">
        <f>TRIM(A4148&amp;"")</f>
        <v/>
      </c>
      <c r="AA4148">
        <f>IF(Z4148="","",IF(MATCH(SUBSTITUTE(SUBSTITUTE(SUBSTITUTE(Z4148,"~","~~"),"*","~*"),"?","~?"),$Z$5:$Z$5004,0)=4144,MAX($AA$4:AA4147)+1,""))</f>
        <v/>
      </c>
    </row>
    <row r="4149" spans="1:27">
      <c r="A4149" s="9"/>
      <c r="Z4149">
        <f>TRIM(A4149&amp;"")</f>
        <v/>
      </c>
      <c r="AA4149">
        <f>IF(Z4149="","",IF(MATCH(SUBSTITUTE(SUBSTITUTE(SUBSTITUTE(Z4149,"~","~~"),"*","~*"),"?","~?"),$Z$5:$Z$5004,0)=4145,MAX($AA$4:AA4148)+1,""))</f>
        <v/>
      </c>
    </row>
    <row r="4150" spans="1:27">
      <c r="A4150" s="9"/>
      <c r="Z4150">
        <f>TRIM(A4150&amp;"")</f>
        <v/>
      </c>
      <c r="AA4150">
        <f>IF(Z4150="","",IF(MATCH(SUBSTITUTE(SUBSTITUTE(SUBSTITUTE(Z4150,"~","~~"),"*","~*"),"?","~?"),$Z$5:$Z$5004,0)=4146,MAX($AA$4:AA4149)+1,""))</f>
        <v/>
      </c>
    </row>
    <row r="4151" spans="1:27">
      <c r="A4151" s="9"/>
      <c r="Z4151">
        <f>TRIM(A4151&amp;"")</f>
        <v/>
      </c>
      <c r="AA4151">
        <f>IF(Z4151="","",IF(MATCH(SUBSTITUTE(SUBSTITUTE(SUBSTITUTE(Z4151,"~","~~"),"*","~*"),"?","~?"),$Z$5:$Z$5004,0)=4147,MAX($AA$4:AA4150)+1,""))</f>
        <v/>
      </c>
    </row>
    <row r="4152" spans="1:27">
      <c r="A4152" s="9"/>
      <c r="Z4152">
        <f>TRIM(A4152&amp;"")</f>
        <v/>
      </c>
      <c r="AA4152">
        <f>IF(Z4152="","",IF(MATCH(SUBSTITUTE(SUBSTITUTE(SUBSTITUTE(Z4152,"~","~~"),"*","~*"),"?","~?"),$Z$5:$Z$5004,0)=4148,MAX($AA$4:AA4151)+1,""))</f>
        <v/>
      </c>
    </row>
    <row r="4153" spans="1:27">
      <c r="A4153" s="9"/>
      <c r="Z4153">
        <f>TRIM(A4153&amp;"")</f>
        <v/>
      </c>
      <c r="AA4153">
        <f>IF(Z4153="","",IF(MATCH(SUBSTITUTE(SUBSTITUTE(SUBSTITUTE(Z4153,"~","~~"),"*","~*"),"?","~?"),$Z$5:$Z$5004,0)=4149,MAX($AA$4:AA4152)+1,""))</f>
        <v/>
      </c>
    </row>
    <row r="4154" spans="1:27">
      <c r="A4154" s="9"/>
      <c r="Z4154">
        <f>TRIM(A4154&amp;"")</f>
        <v/>
      </c>
      <c r="AA4154">
        <f>IF(Z4154="","",IF(MATCH(SUBSTITUTE(SUBSTITUTE(SUBSTITUTE(Z4154,"~","~~"),"*","~*"),"?","~?"),$Z$5:$Z$5004,0)=4150,MAX($AA$4:AA4153)+1,""))</f>
        <v/>
      </c>
    </row>
    <row r="4155" spans="1:27">
      <c r="A4155" s="9"/>
      <c r="Z4155">
        <f>TRIM(A4155&amp;"")</f>
        <v/>
      </c>
      <c r="AA4155">
        <f>IF(Z4155="","",IF(MATCH(SUBSTITUTE(SUBSTITUTE(SUBSTITUTE(Z4155,"~","~~"),"*","~*"),"?","~?"),$Z$5:$Z$5004,0)=4151,MAX($AA$4:AA4154)+1,""))</f>
        <v/>
      </c>
    </row>
    <row r="4156" spans="1:27">
      <c r="A4156" s="9"/>
      <c r="Z4156">
        <f>TRIM(A4156&amp;"")</f>
        <v/>
      </c>
      <c r="AA4156">
        <f>IF(Z4156="","",IF(MATCH(SUBSTITUTE(SUBSTITUTE(SUBSTITUTE(Z4156,"~","~~"),"*","~*"),"?","~?"),$Z$5:$Z$5004,0)=4152,MAX($AA$4:AA4155)+1,""))</f>
        <v/>
      </c>
    </row>
    <row r="4157" spans="1:27">
      <c r="A4157" s="9"/>
      <c r="Z4157">
        <f>TRIM(A4157&amp;"")</f>
        <v/>
      </c>
      <c r="AA4157">
        <f>IF(Z4157="","",IF(MATCH(SUBSTITUTE(SUBSTITUTE(SUBSTITUTE(Z4157,"~","~~"),"*","~*"),"?","~?"),$Z$5:$Z$5004,0)=4153,MAX($AA$4:AA4156)+1,""))</f>
        <v/>
      </c>
    </row>
    <row r="4158" spans="1:27">
      <c r="A4158" s="9"/>
      <c r="Z4158">
        <f>TRIM(A4158&amp;"")</f>
        <v/>
      </c>
      <c r="AA4158">
        <f>IF(Z4158="","",IF(MATCH(SUBSTITUTE(SUBSTITUTE(SUBSTITUTE(Z4158,"~","~~"),"*","~*"),"?","~?"),$Z$5:$Z$5004,0)=4154,MAX($AA$4:AA4157)+1,""))</f>
        <v/>
      </c>
    </row>
    <row r="4159" spans="1:27">
      <c r="A4159" s="9"/>
      <c r="Z4159">
        <f>TRIM(A4159&amp;"")</f>
        <v/>
      </c>
      <c r="AA4159">
        <f>IF(Z4159="","",IF(MATCH(SUBSTITUTE(SUBSTITUTE(SUBSTITUTE(Z4159,"~","~~"),"*","~*"),"?","~?"),$Z$5:$Z$5004,0)=4155,MAX($AA$4:AA4158)+1,""))</f>
        <v/>
      </c>
    </row>
    <row r="4160" spans="1:27">
      <c r="A4160" s="9"/>
      <c r="Z4160">
        <f>TRIM(A4160&amp;"")</f>
        <v/>
      </c>
      <c r="AA4160">
        <f>IF(Z4160="","",IF(MATCH(SUBSTITUTE(SUBSTITUTE(SUBSTITUTE(Z4160,"~","~~"),"*","~*"),"?","~?"),$Z$5:$Z$5004,0)=4156,MAX($AA$4:AA4159)+1,""))</f>
        <v/>
      </c>
    </row>
    <row r="4161" spans="1:27">
      <c r="A4161" s="9"/>
      <c r="Z4161">
        <f>TRIM(A4161&amp;"")</f>
        <v/>
      </c>
      <c r="AA4161">
        <f>IF(Z4161="","",IF(MATCH(SUBSTITUTE(SUBSTITUTE(SUBSTITUTE(Z4161,"~","~~"),"*","~*"),"?","~?"),$Z$5:$Z$5004,0)=4157,MAX($AA$4:AA4160)+1,""))</f>
        <v/>
      </c>
    </row>
    <row r="4162" spans="1:27">
      <c r="A4162" s="9"/>
      <c r="Z4162">
        <f>TRIM(A4162&amp;"")</f>
        <v/>
      </c>
      <c r="AA4162">
        <f>IF(Z4162="","",IF(MATCH(SUBSTITUTE(SUBSTITUTE(SUBSTITUTE(Z4162,"~","~~"),"*","~*"),"?","~?"),$Z$5:$Z$5004,0)=4158,MAX($AA$4:AA4161)+1,""))</f>
        <v/>
      </c>
    </row>
    <row r="4163" spans="1:27">
      <c r="A4163" s="9"/>
      <c r="Z4163">
        <f>TRIM(A4163&amp;"")</f>
        <v/>
      </c>
      <c r="AA4163">
        <f>IF(Z4163="","",IF(MATCH(SUBSTITUTE(SUBSTITUTE(SUBSTITUTE(Z4163,"~","~~"),"*","~*"),"?","~?"),$Z$5:$Z$5004,0)=4159,MAX($AA$4:AA4162)+1,""))</f>
        <v/>
      </c>
    </row>
    <row r="4164" spans="1:27">
      <c r="A4164" s="9"/>
      <c r="Z4164">
        <f>TRIM(A4164&amp;"")</f>
        <v/>
      </c>
      <c r="AA4164">
        <f>IF(Z4164="","",IF(MATCH(SUBSTITUTE(SUBSTITUTE(SUBSTITUTE(Z4164,"~","~~"),"*","~*"),"?","~?"),$Z$5:$Z$5004,0)=4160,MAX($AA$4:AA4163)+1,""))</f>
        <v/>
      </c>
    </row>
    <row r="4165" spans="1:27">
      <c r="A4165" s="9"/>
      <c r="Z4165">
        <f>TRIM(A4165&amp;"")</f>
        <v/>
      </c>
      <c r="AA4165">
        <f>IF(Z4165="","",IF(MATCH(SUBSTITUTE(SUBSTITUTE(SUBSTITUTE(Z4165,"~","~~"),"*","~*"),"?","~?"),$Z$5:$Z$5004,0)=4161,MAX($AA$4:AA4164)+1,""))</f>
        <v/>
      </c>
    </row>
    <row r="4166" spans="1:27">
      <c r="A4166" s="9"/>
      <c r="Z4166">
        <f>TRIM(A4166&amp;"")</f>
        <v/>
      </c>
      <c r="AA4166">
        <f>IF(Z4166="","",IF(MATCH(SUBSTITUTE(SUBSTITUTE(SUBSTITUTE(Z4166,"~","~~"),"*","~*"),"?","~?"),$Z$5:$Z$5004,0)=4162,MAX($AA$4:AA4165)+1,""))</f>
        <v/>
      </c>
    </row>
    <row r="4167" spans="1:27">
      <c r="A4167" s="9"/>
      <c r="Z4167">
        <f>TRIM(A4167&amp;"")</f>
        <v/>
      </c>
      <c r="AA4167">
        <f>IF(Z4167="","",IF(MATCH(SUBSTITUTE(SUBSTITUTE(SUBSTITUTE(Z4167,"~","~~"),"*","~*"),"?","~?"),$Z$5:$Z$5004,0)=4163,MAX($AA$4:AA4166)+1,""))</f>
        <v/>
      </c>
    </row>
    <row r="4168" spans="1:27">
      <c r="A4168" s="9"/>
      <c r="Z4168">
        <f>TRIM(A4168&amp;"")</f>
        <v/>
      </c>
      <c r="AA4168">
        <f>IF(Z4168="","",IF(MATCH(SUBSTITUTE(SUBSTITUTE(SUBSTITUTE(Z4168,"~","~~"),"*","~*"),"?","~?"),$Z$5:$Z$5004,0)=4164,MAX($AA$4:AA4167)+1,""))</f>
        <v/>
      </c>
    </row>
    <row r="4169" spans="1:27">
      <c r="A4169" s="9"/>
      <c r="Z4169">
        <f>TRIM(A4169&amp;"")</f>
        <v/>
      </c>
      <c r="AA4169">
        <f>IF(Z4169="","",IF(MATCH(SUBSTITUTE(SUBSTITUTE(SUBSTITUTE(Z4169,"~","~~"),"*","~*"),"?","~?"),$Z$5:$Z$5004,0)=4165,MAX($AA$4:AA4168)+1,""))</f>
        <v/>
      </c>
    </row>
    <row r="4170" spans="1:27">
      <c r="A4170" s="9"/>
      <c r="Z4170">
        <f>TRIM(A4170&amp;"")</f>
        <v/>
      </c>
      <c r="AA4170">
        <f>IF(Z4170="","",IF(MATCH(SUBSTITUTE(SUBSTITUTE(SUBSTITUTE(Z4170,"~","~~"),"*","~*"),"?","~?"),$Z$5:$Z$5004,0)=4166,MAX($AA$4:AA4169)+1,""))</f>
        <v/>
      </c>
    </row>
    <row r="4171" spans="1:27">
      <c r="A4171" s="9"/>
      <c r="Z4171">
        <f>TRIM(A4171&amp;"")</f>
        <v/>
      </c>
      <c r="AA4171">
        <f>IF(Z4171="","",IF(MATCH(SUBSTITUTE(SUBSTITUTE(SUBSTITUTE(Z4171,"~","~~"),"*","~*"),"?","~?"),$Z$5:$Z$5004,0)=4167,MAX($AA$4:AA4170)+1,""))</f>
        <v/>
      </c>
    </row>
    <row r="4172" spans="1:27">
      <c r="A4172" s="9"/>
      <c r="Z4172">
        <f>TRIM(A4172&amp;"")</f>
        <v/>
      </c>
      <c r="AA4172">
        <f>IF(Z4172="","",IF(MATCH(SUBSTITUTE(SUBSTITUTE(SUBSTITUTE(Z4172,"~","~~"),"*","~*"),"?","~?"),$Z$5:$Z$5004,0)=4168,MAX($AA$4:AA4171)+1,""))</f>
        <v/>
      </c>
    </row>
    <row r="4173" spans="1:27">
      <c r="A4173" s="9"/>
      <c r="Z4173">
        <f>TRIM(A4173&amp;"")</f>
        <v/>
      </c>
      <c r="AA4173">
        <f>IF(Z4173="","",IF(MATCH(SUBSTITUTE(SUBSTITUTE(SUBSTITUTE(Z4173,"~","~~"),"*","~*"),"?","~?"),$Z$5:$Z$5004,0)=4169,MAX($AA$4:AA4172)+1,""))</f>
        <v/>
      </c>
    </row>
    <row r="4174" spans="1:27">
      <c r="A4174" s="9"/>
      <c r="Z4174">
        <f>TRIM(A4174&amp;"")</f>
        <v/>
      </c>
      <c r="AA4174">
        <f>IF(Z4174="","",IF(MATCH(SUBSTITUTE(SUBSTITUTE(SUBSTITUTE(Z4174,"~","~~"),"*","~*"),"?","~?"),$Z$5:$Z$5004,0)=4170,MAX($AA$4:AA4173)+1,""))</f>
        <v/>
      </c>
    </row>
    <row r="4175" spans="1:27">
      <c r="A4175" s="9"/>
      <c r="Z4175">
        <f>TRIM(A4175&amp;"")</f>
        <v/>
      </c>
      <c r="AA4175">
        <f>IF(Z4175="","",IF(MATCH(SUBSTITUTE(SUBSTITUTE(SUBSTITUTE(Z4175,"~","~~"),"*","~*"),"?","~?"),$Z$5:$Z$5004,0)=4171,MAX($AA$4:AA4174)+1,""))</f>
        <v/>
      </c>
    </row>
    <row r="4176" spans="1:27">
      <c r="A4176" s="9"/>
      <c r="Z4176">
        <f>TRIM(A4176&amp;"")</f>
        <v/>
      </c>
      <c r="AA4176">
        <f>IF(Z4176="","",IF(MATCH(SUBSTITUTE(SUBSTITUTE(SUBSTITUTE(Z4176,"~","~~"),"*","~*"),"?","~?"),$Z$5:$Z$5004,0)=4172,MAX($AA$4:AA4175)+1,""))</f>
        <v/>
      </c>
    </row>
    <row r="4177" spans="1:27">
      <c r="A4177" s="9"/>
      <c r="Z4177">
        <f>TRIM(A4177&amp;"")</f>
        <v/>
      </c>
      <c r="AA4177">
        <f>IF(Z4177="","",IF(MATCH(SUBSTITUTE(SUBSTITUTE(SUBSTITUTE(Z4177,"~","~~"),"*","~*"),"?","~?"),$Z$5:$Z$5004,0)=4173,MAX($AA$4:AA4176)+1,""))</f>
        <v/>
      </c>
    </row>
    <row r="4178" spans="1:27">
      <c r="A4178" s="9"/>
      <c r="Z4178">
        <f>TRIM(A4178&amp;"")</f>
        <v/>
      </c>
      <c r="AA4178">
        <f>IF(Z4178="","",IF(MATCH(SUBSTITUTE(SUBSTITUTE(SUBSTITUTE(Z4178,"~","~~"),"*","~*"),"?","~?"),$Z$5:$Z$5004,0)=4174,MAX($AA$4:AA4177)+1,""))</f>
        <v/>
      </c>
    </row>
    <row r="4179" spans="1:27">
      <c r="A4179" s="9"/>
      <c r="Z4179">
        <f>TRIM(A4179&amp;"")</f>
        <v/>
      </c>
      <c r="AA4179">
        <f>IF(Z4179="","",IF(MATCH(SUBSTITUTE(SUBSTITUTE(SUBSTITUTE(Z4179,"~","~~"),"*","~*"),"?","~?"),$Z$5:$Z$5004,0)=4175,MAX($AA$4:AA4178)+1,""))</f>
        <v/>
      </c>
    </row>
    <row r="4180" spans="1:27">
      <c r="A4180" s="9"/>
      <c r="Z4180">
        <f>TRIM(A4180&amp;"")</f>
        <v/>
      </c>
      <c r="AA4180">
        <f>IF(Z4180="","",IF(MATCH(SUBSTITUTE(SUBSTITUTE(SUBSTITUTE(Z4180,"~","~~"),"*","~*"),"?","~?"),$Z$5:$Z$5004,0)=4176,MAX($AA$4:AA4179)+1,""))</f>
        <v/>
      </c>
    </row>
    <row r="4181" spans="1:27">
      <c r="A4181" s="9"/>
      <c r="Z4181">
        <f>TRIM(A4181&amp;"")</f>
        <v/>
      </c>
      <c r="AA4181">
        <f>IF(Z4181="","",IF(MATCH(SUBSTITUTE(SUBSTITUTE(SUBSTITUTE(Z4181,"~","~~"),"*","~*"),"?","~?"),$Z$5:$Z$5004,0)=4177,MAX($AA$4:AA4180)+1,""))</f>
        <v/>
      </c>
    </row>
    <row r="4182" spans="1:27">
      <c r="A4182" s="9"/>
      <c r="Z4182">
        <f>TRIM(A4182&amp;"")</f>
        <v/>
      </c>
      <c r="AA4182">
        <f>IF(Z4182="","",IF(MATCH(SUBSTITUTE(SUBSTITUTE(SUBSTITUTE(Z4182,"~","~~"),"*","~*"),"?","~?"),$Z$5:$Z$5004,0)=4178,MAX($AA$4:AA4181)+1,""))</f>
        <v/>
      </c>
    </row>
    <row r="4183" spans="1:27">
      <c r="A4183" s="9"/>
      <c r="Z4183">
        <f>TRIM(A4183&amp;"")</f>
        <v/>
      </c>
      <c r="AA4183">
        <f>IF(Z4183="","",IF(MATCH(SUBSTITUTE(SUBSTITUTE(SUBSTITUTE(Z4183,"~","~~"),"*","~*"),"?","~?"),$Z$5:$Z$5004,0)=4179,MAX($AA$4:AA4182)+1,""))</f>
        <v/>
      </c>
    </row>
    <row r="4184" spans="1:27">
      <c r="A4184" s="9"/>
      <c r="Z4184">
        <f>TRIM(A4184&amp;"")</f>
        <v/>
      </c>
      <c r="AA4184">
        <f>IF(Z4184="","",IF(MATCH(SUBSTITUTE(SUBSTITUTE(SUBSTITUTE(Z4184,"~","~~"),"*","~*"),"?","~?"),$Z$5:$Z$5004,0)=4180,MAX($AA$4:AA4183)+1,""))</f>
        <v/>
      </c>
    </row>
    <row r="4185" spans="1:27">
      <c r="A4185" s="9"/>
      <c r="Z4185">
        <f>TRIM(A4185&amp;"")</f>
        <v/>
      </c>
      <c r="AA4185">
        <f>IF(Z4185="","",IF(MATCH(SUBSTITUTE(SUBSTITUTE(SUBSTITUTE(Z4185,"~","~~"),"*","~*"),"?","~?"),$Z$5:$Z$5004,0)=4181,MAX($AA$4:AA4184)+1,""))</f>
        <v/>
      </c>
    </row>
    <row r="4186" spans="1:27">
      <c r="A4186" s="9"/>
      <c r="Z4186">
        <f>TRIM(A4186&amp;"")</f>
        <v/>
      </c>
      <c r="AA4186">
        <f>IF(Z4186="","",IF(MATCH(SUBSTITUTE(SUBSTITUTE(SUBSTITUTE(Z4186,"~","~~"),"*","~*"),"?","~?"),$Z$5:$Z$5004,0)=4182,MAX($AA$4:AA4185)+1,""))</f>
        <v/>
      </c>
    </row>
    <row r="4187" spans="1:27">
      <c r="A4187" s="9"/>
      <c r="Z4187">
        <f>TRIM(A4187&amp;"")</f>
        <v/>
      </c>
      <c r="AA4187">
        <f>IF(Z4187="","",IF(MATCH(SUBSTITUTE(SUBSTITUTE(SUBSTITUTE(Z4187,"~","~~"),"*","~*"),"?","~?"),$Z$5:$Z$5004,0)=4183,MAX($AA$4:AA4186)+1,""))</f>
        <v/>
      </c>
    </row>
    <row r="4188" spans="1:27">
      <c r="A4188" s="9"/>
      <c r="Z4188">
        <f>TRIM(A4188&amp;"")</f>
        <v/>
      </c>
      <c r="AA4188">
        <f>IF(Z4188="","",IF(MATCH(SUBSTITUTE(SUBSTITUTE(SUBSTITUTE(Z4188,"~","~~"),"*","~*"),"?","~?"),$Z$5:$Z$5004,0)=4184,MAX($AA$4:AA4187)+1,""))</f>
        <v/>
      </c>
    </row>
    <row r="4189" spans="1:27">
      <c r="A4189" s="9"/>
      <c r="Z4189">
        <f>TRIM(A4189&amp;"")</f>
        <v/>
      </c>
      <c r="AA4189">
        <f>IF(Z4189="","",IF(MATCH(SUBSTITUTE(SUBSTITUTE(SUBSTITUTE(Z4189,"~","~~"),"*","~*"),"?","~?"),$Z$5:$Z$5004,0)=4185,MAX($AA$4:AA4188)+1,""))</f>
        <v/>
      </c>
    </row>
    <row r="4190" spans="1:27">
      <c r="A4190" s="9"/>
      <c r="Z4190">
        <f>TRIM(A4190&amp;"")</f>
        <v/>
      </c>
      <c r="AA4190">
        <f>IF(Z4190="","",IF(MATCH(SUBSTITUTE(SUBSTITUTE(SUBSTITUTE(Z4190,"~","~~"),"*","~*"),"?","~?"),$Z$5:$Z$5004,0)=4186,MAX($AA$4:AA4189)+1,""))</f>
        <v/>
      </c>
    </row>
    <row r="4191" spans="1:27">
      <c r="A4191" s="9"/>
      <c r="Z4191">
        <f>TRIM(A4191&amp;"")</f>
        <v/>
      </c>
      <c r="AA4191">
        <f>IF(Z4191="","",IF(MATCH(SUBSTITUTE(SUBSTITUTE(SUBSTITUTE(Z4191,"~","~~"),"*","~*"),"?","~?"),$Z$5:$Z$5004,0)=4187,MAX($AA$4:AA4190)+1,""))</f>
        <v/>
      </c>
    </row>
    <row r="4192" spans="1:27">
      <c r="A4192" s="9"/>
      <c r="Z4192">
        <f>TRIM(A4192&amp;"")</f>
        <v/>
      </c>
      <c r="AA4192">
        <f>IF(Z4192="","",IF(MATCH(SUBSTITUTE(SUBSTITUTE(SUBSTITUTE(Z4192,"~","~~"),"*","~*"),"?","~?"),$Z$5:$Z$5004,0)=4188,MAX($AA$4:AA4191)+1,""))</f>
        <v/>
      </c>
    </row>
    <row r="4193" spans="1:27">
      <c r="A4193" s="9"/>
      <c r="Z4193">
        <f>TRIM(A4193&amp;"")</f>
        <v/>
      </c>
      <c r="AA4193">
        <f>IF(Z4193="","",IF(MATCH(SUBSTITUTE(SUBSTITUTE(SUBSTITUTE(Z4193,"~","~~"),"*","~*"),"?","~?"),$Z$5:$Z$5004,0)=4189,MAX($AA$4:AA4192)+1,""))</f>
        <v/>
      </c>
    </row>
    <row r="4194" spans="1:27">
      <c r="A4194" s="9"/>
      <c r="Z4194">
        <f>TRIM(A4194&amp;"")</f>
        <v/>
      </c>
      <c r="AA4194">
        <f>IF(Z4194="","",IF(MATCH(SUBSTITUTE(SUBSTITUTE(SUBSTITUTE(Z4194,"~","~~"),"*","~*"),"?","~?"),$Z$5:$Z$5004,0)=4190,MAX($AA$4:AA4193)+1,""))</f>
        <v/>
      </c>
    </row>
    <row r="4195" spans="1:27">
      <c r="A4195" s="9"/>
      <c r="Z4195">
        <f>TRIM(A4195&amp;"")</f>
        <v/>
      </c>
      <c r="AA4195">
        <f>IF(Z4195="","",IF(MATCH(SUBSTITUTE(SUBSTITUTE(SUBSTITUTE(Z4195,"~","~~"),"*","~*"),"?","~?"),$Z$5:$Z$5004,0)=4191,MAX($AA$4:AA4194)+1,""))</f>
        <v/>
      </c>
    </row>
    <row r="4196" spans="1:27">
      <c r="A4196" s="9"/>
      <c r="Z4196">
        <f>TRIM(A4196&amp;"")</f>
        <v/>
      </c>
      <c r="AA4196">
        <f>IF(Z4196="","",IF(MATCH(SUBSTITUTE(SUBSTITUTE(SUBSTITUTE(Z4196,"~","~~"),"*","~*"),"?","~?"),$Z$5:$Z$5004,0)=4192,MAX($AA$4:AA4195)+1,""))</f>
        <v/>
      </c>
    </row>
    <row r="4197" spans="1:27">
      <c r="A4197" s="9"/>
      <c r="Z4197">
        <f>TRIM(A4197&amp;"")</f>
        <v/>
      </c>
      <c r="AA4197">
        <f>IF(Z4197="","",IF(MATCH(SUBSTITUTE(SUBSTITUTE(SUBSTITUTE(Z4197,"~","~~"),"*","~*"),"?","~?"),$Z$5:$Z$5004,0)=4193,MAX($AA$4:AA4196)+1,""))</f>
        <v/>
      </c>
    </row>
    <row r="4198" spans="1:27">
      <c r="A4198" s="9"/>
      <c r="Z4198">
        <f>TRIM(A4198&amp;"")</f>
        <v/>
      </c>
      <c r="AA4198">
        <f>IF(Z4198="","",IF(MATCH(SUBSTITUTE(SUBSTITUTE(SUBSTITUTE(Z4198,"~","~~"),"*","~*"),"?","~?"),$Z$5:$Z$5004,0)=4194,MAX($AA$4:AA4197)+1,""))</f>
        <v/>
      </c>
    </row>
    <row r="4199" spans="1:27">
      <c r="A4199" s="9"/>
      <c r="Z4199">
        <f>TRIM(A4199&amp;"")</f>
        <v/>
      </c>
      <c r="AA4199">
        <f>IF(Z4199="","",IF(MATCH(SUBSTITUTE(SUBSTITUTE(SUBSTITUTE(Z4199,"~","~~"),"*","~*"),"?","~?"),$Z$5:$Z$5004,0)=4195,MAX($AA$4:AA4198)+1,""))</f>
        <v/>
      </c>
    </row>
    <row r="4200" spans="1:27">
      <c r="A4200" s="9"/>
      <c r="Z4200">
        <f>TRIM(A4200&amp;"")</f>
        <v/>
      </c>
      <c r="AA4200">
        <f>IF(Z4200="","",IF(MATCH(SUBSTITUTE(SUBSTITUTE(SUBSTITUTE(Z4200,"~","~~"),"*","~*"),"?","~?"),$Z$5:$Z$5004,0)=4196,MAX($AA$4:AA4199)+1,""))</f>
        <v/>
      </c>
    </row>
    <row r="4201" spans="1:27">
      <c r="A4201" s="9"/>
      <c r="Z4201">
        <f>TRIM(A4201&amp;"")</f>
        <v/>
      </c>
      <c r="AA4201">
        <f>IF(Z4201="","",IF(MATCH(SUBSTITUTE(SUBSTITUTE(SUBSTITUTE(Z4201,"~","~~"),"*","~*"),"?","~?"),$Z$5:$Z$5004,0)=4197,MAX($AA$4:AA4200)+1,""))</f>
        <v/>
      </c>
    </row>
    <row r="4202" spans="1:27">
      <c r="A4202" s="9"/>
      <c r="Z4202">
        <f>TRIM(A4202&amp;"")</f>
        <v/>
      </c>
      <c r="AA4202">
        <f>IF(Z4202="","",IF(MATCH(SUBSTITUTE(SUBSTITUTE(SUBSTITUTE(Z4202,"~","~~"),"*","~*"),"?","~?"),$Z$5:$Z$5004,0)=4198,MAX($AA$4:AA4201)+1,""))</f>
        <v/>
      </c>
    </row>
    <row r="4203" spans="1:27">
      <c r="A4203" s="9"/>
      <c r="Z4203">
        <f>TRIM(A4203&amp;"")</f>
        <v/>
      </c>
      <c r="AA4203">
        <f>IF(Z4203="","",IF(MATCH(SUBSTITUTE(SUBSTITUTE(SUBSTITUTE(Z4203,"~","~~"),"*","~*"),"?","~?"),$Z$5:$Z$5004,0)=4199,MAX($AA$4:AA4202)+1,""))</f>
        <v/>
      </c>
    </row>
    <row r="4204" spans="1:27">
      <c r="A4204" s="9"/>
      <c r="Z4204">
        <f>TRIM(A4204&amp;"")</f>
        <v/>
      </c>
      <c r="AA4204">
        <f>IF(Z4204="","",IF(MATCH(SUBSTITUTE(SUBSTITUTE(SUBSTITUTE(Z4204,"~","~~"),"*","~*"),"?","~?"),$Z$5:$Z$5004,0)=4200,MAX($AA$4:AA4203)+1,""))</f>
        <v/>
      </c>
    </row>
    <row r="4205" spans="1:27">
      <c r="A4205" s="9"/>
      <c r="Z4205">
        <f>TRIM(A4205&amp;"")</f>
        <v/>
      </c>
      <c r="AA4205">
        <f>IF(Z4205="","",IF(MATCH(SUBSTITUTE(SUBSTITUTE(SUBSTITUTE(Z4205,"~","~~"),"*","~*"),"?","~?"),$Z$5:$Z$5004,0)=4201,MAX($AA$4:AA4204)+1,""))</f>
        <v/>
      </c>
    </row>
    <row r="4206" spans="1:27">
      <c r="A4206" s="9"/>
      <c r="Z4206">
        <f>TRIM(A4206&amp;"")</f>
        <v/>
      </c>
      <c r="AA4206">
        <f>IF(Z4206="","",IF(MATCH(SUBSTITUTE(SUBSTITUTE(SUBSTITUTE(Z4206,"~","~~"),"*","~*"),"?","~?"),$Z$5:$Z$5004,0)=4202,MAX($AA$4:AA4205)+1,""))</f>
        <v/>
      </c>
    </row>
    <row r="4207" spans="1:27">
      <c r="A4207" s="9"/>
      <c r="Z4207">
        <f>TRIM(A4207&amp;"")</f>
        <v/>
      </c>
      <c r="AA4207">
        <f>IF(Z4207="","",IF(MATCH(SUBSTITUTE(SUBSTITUTE(SUBSTITUTE(Z4207,"~","~~"),"*","~*"),"?","~?"),$Z$5:$Z$5004,0)=4203,MAX($AA$4:AA4206)+1,""))</f>
        <v/>
      </c>
    </row>
    <row r="4208" spans="1:27">
      <c r="A4208" s="9"/>
      <c r="Z4208">
        <f>TRIM(A4208&amp;"")</f>
        <v/>
      </c>
      <c r="AA4208">
        <f>IF(Z4208="","",IF(MATCH(SUBSTITUTE(SUBSTITUTE(SUBSTITUTE(Z4208,"~","~~"),"*","~*"),"?","~?"),$Z$5:$Z$5004,0)=4204,MAX($AA$4:AA4207)+1,""))</f>
        <v/>
      </c>
    </row>
    <row r="4209" spans="1:27">
      <c r="A4209" s="9"/>
      <c r="Z4209">
        <f>TRIM(A4209&amp;"")</f>
        <v/>
      </c>
      <c r="AA4209">
        <f>IF(Z4209="","",IF(MATCH(SUBSTITUTE(SUBSTITUTE(SUBSTITUTE(Z4209,"~","~~"),"*","~*"),"?","~?"),$Z$5:$Z$5004,0)=4205,MAX($AA$4:AA4208)+1,""))</f>
        <v/>
      </c>
    </row>
    <row r="4210" spans="1:27">
      <c r="A4210" s="9"/>
      <c r="Z4210">
        <f>TRIM(A4210&amp;"")</f>
        <v/>
      </c>
      <c r="AA4210">
        <f>IF(Z4210="","",IF(MATCH(SUBSTITUTE(SUBSTITUTE(SUBSTITUTE(Z4210,"~","~~"),"*","~*"),"?","~?"),$Z$5:$Z$5004,0)=4206,MAX($AA$4:AA4209)+1,""))</f>
        <v/>
      </c>
    </row>
    <row r="4211" spans="1:27">
      <c r="A4211" s="9"/>
      <c r="Z4211">
        <f>TRIM(A4211&amp;"")</f>
        <v/>
      </c>
      <c r="AA4211">
        <f>IF(Z4211="","",IF(MATCH(SUBSTITUTE(SUBSTITUTE(SUBSTITUTE(Z4211,"~","~~"),"*","~*"),"?","~?"),$Z$5:$Z$5004,0)=4207,MAX($AA$4:AA4210)+1,""))</f>
        <v/>
      </c>
    </row>
    <row r="4212" spans="1:27">
      <c r="A4212" s="9"/>
      <c r="Z4212">
        <f>TRIM(A4212&amp;"")</f>
        <v/>
      </c>
      <c r="AA4212">
        <f>IF(Z4212="","",IF(MATCH(SUBSTITUTE(SUBSTITUTE(SUBSTITUTE(Z4212,"~","~~"),"*","~*"),"?","~?"),$Z$5:$Z$5004,0)=4208,MAX($AA$4:AA4211)+1,""))</f>
        <v/>
      </c>
    </row>
    <row r="4213" spans="1:27">
      <c r="A4213" s="9"/>
      <c r="Z4213">
        <f>TRIM(A4213&amp;"")</f>
        <v/>
      </c>
      <c r="AA4213">
        <f>IF(Z4213="","",IF(MATCH(SUBSTITUTE(SUBSTITUTE(SUBSTITUTE(Z4213,"~","~~"),"*","~*"),"?","~?"),$Z$5:$Z$5004,0)=4209,MAX($AA$4:AA4212)+1,""))</f>
        <v/>
      </c>
    </row>
    <row r="4214" spans="1:27">
      <c r="A4214" s="9"/>
      <c r="Z4214">
        <f>TRIM(A4214&amp;"")</f>
        <v/>
      </c>
      <c r="AA4214">
        <f>IF(Z4214="","",IF(MATCH(SUBSTITUTE(SUBSTITUTE(SUBSTITUTE(Z4214,"~","~~"),"*","~*"),"?","~?"),$Z$5:$Z$5004,0)=4210,MAX($AA$4:AA4213)+1,""))</f>
        <v/>
      </c>
    </row>
    <row r="4215" spans="1:27">
      <c r="A4215" s="9"/>
      <c r="Z4215">
        <f>TRIM(A4215&amp;"")</f>
        <v/>
      </c>
      <c r="AA4215">
        <f>IF(Z4215="","",IF(MATCH(SUBSTITUTE(SUBSTITUTE(SUBSTITUTE(Z4215,"~","~~"),"*","~*"),"?","~?"),$Z$5:$Z$5004,0)=4211,MAX($AA$4:AA4214)+1,""))</f>
        <v/>
      </c>
    </row>
    <row r="4216" spans="1:27">
      <c r="A4216" s="9"/>
      <c r="Z4216">
        <f>TRIM(A4216&amp;"")</f>
        <v/>
      </c>
      <c r="AA4216">
        <f>IF(Z4216="","",IF(MATCH(SUBSTITUTE(SUBSTITUTE(SUBSTITUTE(Z4216,"~","~~"),"*","~*"),"?","~?"),$Z$5:$Z$5004,0)=4212,MAX($AA$4:AA4215)+1,""))</f>
        <v/>
      </c>
    </row>
    <row r="4217" spans="1:27">
      <c r="A4217" s="9"/>
      <c r="Z4217">
        <f>TRIM(A4217&amp;"")</f>
        <v/>
      </c>
      <c r="AA4217">
        <f>IF(Z4217="","",IF(MATCH(SUBSTITUTE(SUBSTITUTE(SUBSTITUTE(Z4217,"~","~~"),"*","~*"),"?","~?"),$Z$5:$Z$5004,0)=4213,MAX($AA$4:AA4216)+1,""))</f>
        <v/>
      </c>
    </row>
    <row r="4218" spans="1:27">
      <c r="A4218" s="9"/>
      <c r="Z4218">
        <f>TRIM(A4218&amp;"")</f>
        <v/>
      </c>
      <c r="AA4218">
        <f>IF(Z4218="","",IF(MATCH(SUBSTITUTE(SUBSTITUTE(SUBSTITUTE(Z4218,"~","~~"),"*","~*"),"?","~?"),$Z$5:$Z$5004,0)=4214,MAX($AA$4:AA4217)+1,""))</f>
        <v/>
      </c>
    </row>
    <row r="4219" spans="1:27">
      <c r="A4219" s="9"/>
      <c r="Z4219">
        <f>TRIM(A4219&amp;"")</f>
        <v/>
      </c>
      <c r="AA4219">
        <f>IF(Z4219="","",IF(MATCH(SUBSTITUTE(SUBSTITUTE(SUBSTITUTE(Z4219,"~","~~"),"*","~*"),"?","~?"),$Z$5:$Z$5004,0)=4215,MAX($AA$4:AA4218)+1,""))</f>
        <v/>
      </c>
    </row>
    <row r="4220" spans="1:27">
      <c r="A4220" s="9"/>
      <c r="Z4220">
        <f>TRIM(A4220&amp;"")</f>
        <v/>
      </c>
      <c r="AA4220">
        <f>IF(Z4220="","",IF(MATCH(SUBSTITUTE(SUBSTITUTE(SUBSTITUTE(Z4220,"~","~~"),"*","~*"),"?","~?"),$Z$5:$Z$5004,0)=4216,MAX($AA$4:AA4219)+1,""))</f>
        <v/>
      </c>
    </row>
    <row r="4221" spans="1:27">
      <c r="A4221" s="9"/>
      <c r="Z4221">
        <f>TRIM(A4221&amp;"")</f>
        <v/>
      </c>
      <c r="AA4221">
        <f>IF(Z4221="","",IF(MATCH(SUBSTITUTE(SUBSTITUTE(SUBSTITUTE(Z4221,"~","~~"),"*","~*"),"?","~?"),$Z$5:$Z$5004,0)=4217,MAX($AA$4:AA4220)+1,""))</f>
        <v/>
      </c>
    </row>
    <row r="4222" spans="1:27">
      <c r="A4222" s="9"/>
      <c r="Z4222">
        <f>TRIM(A4222&amp;"")</f>
        <v/>
      </c>
      <c r="AA4222">
        <f>IF(Z4222="","",IF(MATCH(SUBSTITUTE(SUBSTITUTE(SUBSTITUTE(Z4222,"~","~~"),"*","~*"),"?","~?"),$Z$5:$Z$5004,0)=4218,MAX($AA$4:AA4221)+1,""))</f>
        <v/>
      </c>
    </row>
    <row r="4223" spans="1:27">
      <c r="A4223" s="9"/>
      <c r="Z4223">
        <f>TRIM(A4223&amp;"")</f>
        <v/>
      </c>
      <c r="AA4223">
        <f>IF(Z4223="","",IF(MATCH(SUBSTITUTE(SUBSTITUTE(SUBSTITUTE(Z4223,"~","~~"),"*","~*"),"?","~?"),$Z$5:$Z$5004,0)=4219,MAX($AA$4:AA4222)+1,""))</f>
        <v/>
      </c>
    </row>
    <row r="4224" spans="1:27">
      <c r="A4224" s="9"/>
      <c r="Z4224">
        <f>TRIM(A4224&amp;"")</f>
        <v/>
      </c>
      <c r="AA4224">
        <f>IF(Z4224="","",IF(MATCH(SUBSTITUTE(SUBSTITUTE(SUBSTITUTE(Z4224,"~","~~"),"*","~*"),"?","~?"),$Z$5:$Z$5004,0)=4220,MAX($AA$4:AA4223)+1,""))</f>
        <v/>
      </c>
    </row>
    <row r="4225" spans="1:27">
      <c r="A4225" s="9"/>
      <c r="Z4225">
        <f>TRIM(A4225&amp;"")</f>
        <v/>
      </c>
      <c r="AA4225">
        <f>IF(Z4225="","",IF(MATCH(SUBSTITUTE(SUBSTITUTE(SUBSTITUTE(Z4225,"~","~~"),"*","~*"),"?","~?"),$Z$5:$Z$5004,0)=4221,MAX($AA$4:AA4224)+1,""))</f>
        <v/>
      </c>
    </row>
    <row r="4226" spans="1:27">
      <c r="A4226" s="9"/>
      <c r="Z4226">
        <f>TRIM(A4226&amp;"")</f>
        <v/>
      </c>
      <c r="AA4226">
        <f>IF(Z4226="","",IF(MATCH(SUBSTITUTE(SUBSTITUTE(SUBSTITUTE(Z4226,"~","~~"),"*","~*"),"?","~?"),$Z$5:$Z$5004,0)=4222,MAX($AA$4:AA4225)+1,""))</f>
        <v/>
      </c>
    </row>
    <row r="4227" spans="1:27">
      <c r="A4227" s="9"/>
      <c r="Z4227">
        <f>TRIM(A4227&amp;"")</f>
        <v/>
      </c>
      <c r="AA4227">
        <f>IF(Z4227="","",IF(MATCH(SUBSTITUTE(SUBSTITUTE(SUBSTITUTE(Z4227,"~","~~"),"*","~*"),"?","~?"),$Z$5:$Z$5004,0)=4223,MAX($AA$4:AA4226)+1,""))</f>
        <v/>
      </c>
    </row>
    <row r="4228" spans="1:27">
      <c r="A4228" s="9"/>
      <c r="Z4228">
        <f>TRIM(A4228&amp;"")</f>
        <v/>
      </c>
      <c r="AA4228">
        <f>IF(Z4228="","",IF(MATCH(SUBSTITUTE(SUBSTITUTE(SUBSTITUTE(Z4228,"~","~~"),"*","~*"),"?","~?"),$Z$5:$Z$5004,0)=4224,MAX($AA$4:AA4227)+1,""))</f>
        <v/>
      </c>
    </row>
    <row r="4229" spans="1:27">
      <c r="A4229" s="9"/>
      <c r="Z4229">
        <f>TRIM(A4229&amp;"")</f>
        <v/>
      </c>
      <c r="AA4229">
        <f>IF(Z4229="","",IF(MATCH(SUBSTITUTE(SUBSTITUTE(SUBSTITUTE(Z4229,"~","~~"),"*","~*"),"?","~?"),$Z$5:$Z$5004,0)=4225,MAX($AA$4:AA4228)+1,""))</f>
        <v/>
      </c>
    </row>
    <row r="4230" spans="1:27">
      <c r="A4230" s="9"/>
      <c r="Z4230">
        <f>TRIM(A4230&amp;"")</f>
        <v/>
      </c>
      <c r="AA4230">
        <f>IF(Z4230="","",IF(MATCH(SUBSTITUTE(SUBSTITUTE(SUBSTITUTE(Z4230,"~","~~"),"*","~*"),"?","~?"),$Z$5:$Z$5004,0)=4226,MAX($AA$4:AA4229)+1,""))</f>
        <v/>
      </c>
    </row>
    <row r="4231" spans="1:27">
      <c r="A4231" s="9"/>
      <c r="Z4231">
        <f>TRIM(A4231&amp;"")</f>
        <v/>
      </c>
      <c r="AA4231">
        <f>IF(Z4231="","",IF(MATCH(SUBSTITUTE(SUBSTITUTE(SUBSTITUTE(Z4231,"~","~~"),"*","~*"),"?","~?"),$Z$5:$Z$5004,0)=4227,MAX($AA$4:AA4230)+1,""))</f>
        <v/>
      </c>
    </row>
    <row r="4232" spans="1:27">
      <c r="A4232" s="9"/>
      <c r="Z4232">
        <f>TRIM(A4232&amp;"")</f>
        <v/>
      </c>
      <c r="AA4232">
        <f>IF(Z4232="","",IF(MATCH(SUBSTITUTE(SUBSTITUTE(SUBSTITUTE(Z4232,"~","~~"),"*","~*"),"?","~?"),$Z$5:$Z$5004,0)=4228,MAX($AA$4:AA4231)+1,""))</f>
        <v/>
      </c>
    </row>
    <row r="4233" spans="1:27">
      <c r="A4233" s="9"/>
      <c r="Z4233">
        <f>TRIM(A4233&amp;"")</f>
        <v/>
      </c>
      <c r="AA4233">
        <f>IF(Z4233="","",IF(MATCH(SUBSTITUTE(SUBSTITUTE(SUBSTITUTE(Z4233,"~","~~"),"*","~*"),"?","~?"),$Z$5:$Z$5004,0)=4229,MAX($AA$4:AA4232)+1,""))</f>
        <v/>
      </c>
    </row>
    <row r="4234" spans="1:27">
      <c r="A4234" s="9"/>
      <c r="Z4234">
        <f>TRIM(A4234&amp;"")</f>
        <v/>
      </c>
      <c r="AA4234">
        <f>IF(Z4234="","",IF(MATCH(SUBSTITUTE(SUBSTITUTE(SUBSTITUTE(Z4234,"~","~~"),"*","~*"),"?","~?"),$Z$5:$Z$5004,0)=4230,MAX($AA$4:AA4233)+1,""))</f>
        <v/>
      </c>
    </row>
    <row r="4235" spans="1:27">
      <c r="A4235" s="9"/>
      <c r="Z4235">
        <f>TRIM(A4235&amp;"")</f>
        <v/>
      </c>
      <c r="AA4235">
        <f>IF(Z4235="","",IF(MATCH(SUBSTITUTE(SUBSTITUTE(SUBSTITUTE(Z4235,"~","~~"),"*","~*"),"?","~?"),$Z$5:$Z$5004,0)=4231,MAX($AA$4:AA4234)+1,""))</f>
        <v/>
      </c>
    </row>
    <row r="4236" spans="1:27">
      <c r="A4236" s="9"/>
      <c r="Z4236">
        <f>TRIM(A4236&amp;"")</f>
        <v/>
      </c>
      <c r="AA4236">
        <f>IF(Z4236="","",IF(MATCH(SUBSTITUTE(SUBSTITUTE(SUBSTITUTE(Z4236,"~","~~"),"*","~*"),"?","~?"),$Z$5:$Z$5004,0)=4232,MAX($AA$4:AA4235)+1,""))</f>
        <v/>
      </c>
    </row>
    <row r="4237" spans="1:27">
      <c r="A4237" s="9"/>
      <c r="Z4237">
        <f>TRIM(A4237&amp;"")</f>
        <v/>
      </c>
      <c r="AA4237">
        <f>IF(Z4237="","",IF(MATCH(SUBSTITUTE(SUBSTITUTE(SUBSTITUTE(Z4237,"~","~~"),"*","~*"),"?","~?"),$Z$5:$Z$5004,0)=4233,MAX($AA$4:AA4236)+1,""))</f>
        <v/>
      </c>
    </row>
    <row r="4238" spans="1:27">
      <c r="A4238" s="9"/>
      <c r="Z4238">
        <f>TRIM(A4238&amp;"")</f>
        <v/>
      </c>
      <c r="AA4238">
        <f>IF(Z4238="","",IF(MATCH(SUBSTITUTE(SUBSTITUTE(SUBSTITUTE(Z4238,"~","~~"),"*","~*"),"?","~?"),$Z$5:$Z$5004,0)=4234,MAX($AA$4:AA4237)+1,""))</f>
        <v/>
      </c>
    </row>
    <row r="4239" spans="1:27">
      <c r="A4239" s="9"/>
      <c r="Z4239">
        <f>TRIM(A4239&amp;"")</f>
        <v/>
      </c>
      <c r="AA4239">
        <f>IF(Z4239="","",IF(MATCH(SUBSTITUTE(SUBSTITUTE(SUBSTITUTE(Z4239,"~","~~"),"*","~*"),"?","~?"),$Z$5:$Z$5004,0)=4235,MAX($AA$4:AA4238)+1,""))</f>
        <v/>
      </c>
    </row>
    <row r="4240" spans="1:27">
      <c r="A4240" s="9"/>
      <c r="Z4240">
        <f>TRIM(A4240&amp;"")</f>
        <v/>
      </c>
      <c r="AA4240">
        <f>IF(Z4240="","",IF(MATCH(SUBSTITUTE(SUBSTITUTE(SUBSTITUTE(Z4240,"~","~~"),"*","~*"),"?","~?"),$Z$5:$Z$5004,0)=4236,MAX($AA$4:AA4239)+1,""))</f>
        <v/>
      </c>
    </row>
    <row r="4241" spans="1:27">
      <c r="A4241" s="9"/>
      <c r="Z4241">
        <f>TRIM(A4241&amp;"")</f>
        <v/>
      </c>
      <c r="AA4241">
        <f>IF(Z4241="","",IF(MATCH(SUBSTITUTE(SUBSTITUTE(SUBSTITUTE(Z4241,"~","~~"),"*","~*"),"?","~?"),$Z$5:$Z$5004,0)=4237,MAX($AA$4:AA4240)+1,""))</f>
        <v/>
      </c>
    </row>
    <row r="4242" spans="1:27">
      <c r="A4242" s="9"/>
      <c r="Z4242">
        <f>TRIM(A4242&amp;"")</f>
        <v/>
      </c>
      <c r="AA4242">
        <f>IF(Z4242="","",IF(MATCH(SUBSTITUTE(SUBSTITUTE(SUBSTITUTE(Z4242,"~","~~"),"*","~*"),"?","~?"),$Z$5:$Z$5004,0)=4238,MAX($AA$4:AA4241)+1,""))</f>
        <v/>
      </c>
    </row>
    <row r="4243" spans="1:27">
      <c r="A4243" s="9"/>
      <c r="Z4243">
        <f>TRIM(A4243&amp;"")</f>
        <v/>
      </c>
      <c r="AA4243">
        <f>IF(Z4243="","",IF(MATCH(SUBSTITUTE(SUBSTITUTE(SUBSTITUTE(Z4243,"~","~~"),"*","~*"),"?","~?"),$Z$5:$Z$5004,0)=4239,MAX($AA$4:AA4242)+1,""))</f>
        <v/>
      </c>
    </row>
    <row r="4244" spans="1:27">
      <c r="A4244" s="9"/>
      <c r="Z4244">
        <f>TRIM(A4244&amp;"")</f>
        <v/>
      </c>
      <c r="AA4244">
        <f>IF(Z4244="","",IF(MATCH(SUBSTITUTE(SUBSTITUTE(SUBSTITUTE(Z4244,"~","~~"),"*","~*"),"?","~?"),$Z$5:$Z$5004,0)=4240,MAX($AA$4:AA4243)+1,""))</f>
        <v/>
      </c>
    </row>
    <row r="4245" spans="1:27">
      <c r="A4245" s="9"/>
      <c r="Z4245">
        <f>TRIM(A4245&amp;"")</f>
        <v/>
      </c>
      <c r="AA4245">
        <f>IF(Z4245="","",IF(MATCH(SUBSTITUTE(SUBSTITUTE(SUBSTITUTE(Z4245,"~","~~"),"*","~*"),"?","~?"),$Z$5:$Z$5004,0)=4241,MAX($AA$4:AA4244)+1,""))</f>
        <v/>
      </c>
    </row>
    <row r="4246" spans="1:27">
      <c r="A4246" s="9"/>
      <c r="Z4246">
        <f>TRIM(A4246&amp;"")</f>
        <v/>
      </c>
      <c r="AA4246">
        <f>IF(Z4246="","",IF(MATCH(SUBSTITUTE(SUBSTITUTE(SUBSTITUTE(Z4246,"~","~~"),"*","~*"),"?","~?"),$Z$5:$Z$5004,0)=4242,MAX($AA$4:AA4245)+1,""))</f>
        <v/>
      </c>
    </row>
    <row r="4247" spans="1:27">
      <c r="A4247" s="9"/>
      <c r="Z4247">
        <f>TRIM(A4247&amp;"")</f>
        <v/>
      </c>
      <c r="AA4247">
        <f>IF(Z4247="","",IF(MATCH(SUBSTITUTE(SUBSTITUTE(SUBSTITUTE(Z4247,"~","~~"),"*","~*"),"?","~?"),$Z$5:$Z$5004,0)=4243,MAX($AA$4:AA4246)+1,""))</f>
        <v/>
      </c>
    </row>
    <row r="4248" spans="1:27">
      <c r="A4248" s="9"/>
      <c r="Z4248">
        <f>TRIM(A4248&amp;"")</f>
        <v/>
      </c>
      <c r="AA4248">
        <f>IF(Z4248="","",IF(MATCH(SUBSTITUTE(SUBSTITUTE(SUBSTITUTE(Z4248,"~","~~"),"*","~*"),"?","~?"),$Z$5:$Z$5004,0)=4244,MAX($AA$4:AA4247)+1,""))</f>
        <v/>
      </c>
    </row>
    <row r="4249" spans="1:27">
      <c r="A4249" s="9"/>
      <c r="Z4249">
        <f>TRIM(A4249&amp;"")</f>
        <v/>
      </c>
      <c r="AA4249">
        <f>IF(Z4249="","",IF(MATCH(SUBSTITUTE(SUBSTITUTE(SUBSTITUTE(Z4249,"~","~~"),"*","~*"),"?","~?"),$Z$5:$Z$5004,0)=4245,MAX($AA$4:AA4248)+1,""))</f>
        <v/>
      </c>
    </row>
    <row r="4250" spans="1:27">
      <c r="A4250" s="9"/>
      <c r="Z4250">
        <f>TRIM(A4250&amp;"")</f>
        <v/>
      </c>
      <c r="AA4250">
        <f>IF(Z4250="","",IF(MATCH(SUBSTITUTE(SUBSTITUTE(SUBSTITUTE(Z4250,"~","~~"),"*","~*"),"?","~?"),$Z$5:$Z$5004,0)=4246,MAX($AA$4:AA4249)+1,""))</f>
        <v/>
      </c>
    </row>
    <row r="4251" spans="1:27">
      <c r="A4251" s="9"/>
      <c r="Z4251">
        <f>TRIM(A4251&amp;"")</f>
        <v/>
      </c>
      <c r="AA4251">
        <f>IF(Z4251="","",IF(MATCH(SUBSTITUTE(SUBSTITUTE(SUBSTITUTE(Z4251,"~","~~"),"*","~*"),"?","~?"),$Z$5:$Z$5004,0)=4247,MAX($AA$4:AA4250)+1,""))</f>
        <v/>
      </c>
    </row>
    <row r="4252" spans="1:27">
      <c r="A4252" s="9"/>
      <c r="Z4252">
        <f>TRIM(A4252&amp;"")</f>
        <v/>
      </c>
      <c r="AA4252">
        <f>IF(Z4252="","",IF(MATCH(SUBSTITUTE(SUBSTITUTE(SUBSTITUTE(Z4252,"~","~~"),"*","~*"),"?","~?"),$Z$5:$Z$5004,0)=4248,MAX($AA$4:AA4251)+1,""))</f>
        <v/>
      </c>
    </row>
    <row r="4253" spans="1:27">
      <c r="A4253" s="9"/>
      <c r="Z4253">
        <f>TRIM(A4253&amp;"")</f>
        <v/>
      </c>
      <c r="AA4253">
        <f>IF(Z4253="","",IF(MATCH(SUBSTITUTE(SUBSTITUTE(SUBSTITUTE(Z4253,"~","~~"),"*","~*"),"?","~?"),$Z$5:$Z$5004,0)=4249,MAX($AA$4:AA4252)+1,""))</f>
        <v/>
      </c>
    </row>
    <row r="4254" spans="1:27">
      <c r="A4254" s="9"/>
      <c r="Z4254">
        <f>TRIM(A4254&amp;"")</f>
        <v/>
      </c>
      <c r="AA4254">
        <f>IF(Z4254="","",IF(MATCH(SUBSTITUTE(SUBSTITUTE(SUBSTITUTE(Z4254,"~","~~"),"*","~*"),"?","~?"),$Z$5:$Z$5004,0)=4250,MAX($AA$4:AA4253)+1,""))</f>
        <v/>
      </c>
    </row>
    <row r="4255" spans="1:27">
      <c r="A4255" s="9"/>
      <c r="Z4255">
        <f>TRIM(A4255&amp;"")</f>
        <v/>
      </c>
      <c r="AA4255">
        <f>IF(Z4255="","",IF(MATCH(SUBSTITUTE(SUBSTITUTE(SUBSTITUTE(Z4255,"~","~~"),"*","~*"),"?","~?"),$Z$5:$Z$5004,0)=4251,MAX($AA$4:AA4254)+1,""))</f>
        <v/>
      </c>
    </row>
    <row r="4256" spans="1:27">
      <c r="A4256" s="9"/>
      <c r="Z4256">
        <f>TRIM(A4256&amp;"")</f>
        <v/>
      </c>
      <c r="AA4256">
        <f>IF(Z4256="","",IF(MATCH(SUBSTITUTE(SUBSTITUTE(SUBSTITUTE(Z4256,"~","~~"),"*","~*"),"?","~?"),$Z$5:$Z$5004,0)=4252,MAX($AA$4:AA4255)+1,""))</f>
        <v/>
      </c>
    </row>
    <row r="4257" spans="1:27">
      <c r="A4257" s="9"/>
      <c r="Z4257">
        <f>TRIM(A4257&amp;"")</f>
        <v/>
      </c>
      <c r="AA4257">
        <f>IF(Z4257="","",IF(MATCH(SUBSTITUTE(SUBSTITUTE(SUBSTITUTE(Z4257,"~","~~"),"*","~*"),"?","~?"),$Z$5:$Z$5004,0)=4253,MAX($AA$4:AA4256)+1,""))</f>
        <v/>
      </c>
    </row>
    <row r="4258" spans="1:27">
      <c r="A4258" s="9"/>
      <c r="Z4258">
        <f>TRIM(A4258&amp;"")</f>
        <v/>
      </c>
      <c r="AA4258">
        <f>IF(Z4258="","",IF(MATCH(SUBSTITUTE(SUBSTITUTE(SUBSTITUTE(Z4258,"~","~~"),"*","~*"),"?","~?"),$Z$5:$Z$5004,0)=4254,MAX($AA$4:AA4257)+1,""))</f>
        <v/>
      </c>
    </row>
    <row r="4259" spans="1:27">
      <c r="A4259" s="9"/>
      <c r="Z4259">
        <f>TRIM(A4259&amp;"")</f>
        <v/>
      </c>
      <c r="AA4259">
        <f>IF(Z4259="","",IF(MATCH(SUBSTITUTE(SUBSTITUTE(SUBSTITUTE(Z4259,"~","~~"),"*","~*"),"?","~?"),$Z$5:$Z$5004,0)=4255,MAX($AA$4:AA4258)+1,""))</f>
        <v/>
      </c>
    </row>
    <row r="4260" spans="1:27">
      <c r="A4260" s="9"/>
      <c r="Z4260">
        <f>TRIM(A4260&amp;"")</f>
        <v/>
      </c>
      <c r="AA4260">
        <f>IF(Z4260="","",IF(MATCH(SUBSTITUTE(SUBSTITUTE(SUBSTITUTE(Z4260,"~","~~"),"*","~*"),"?","~?"),$Z$5:$Z$5004,0)=4256,MAX($AA$4:AA4259)+1,""))</f>
        <v/>
      </c>
    </row>
    <row r="4261" spans="1:27">
      <c r="A4261" s="9"/>
      <c r="Z4261">
        <f>TRIM(A4261&amp;"")</f>
        <v/>
      </c>
      <c r="AA4261">
        <f>IF(Z4261="","",IF(MATCH(SUBSTITUTE(SUBSTITUTE(SUBSTITUTE(Z4261,"~","~~"),"*","~*"),"?","~?"),$Z$5:$Z$5004,0)=4257,MAX($AA$4:AA4260)+1,""))</f>
        <v/>
      </c>
    </row>
    <row r="4262" spans="1:27">
      <c r="A4262" s="9"/>
      <c r="Z4262">
        <f>TRIM(A4262&amp;"")</f>
        <v/>
      </c>
      <c r="AA4262">
        <f>IF(Z4262="","",IF(MATCH(SUBSTITUTE(SUBSTITUTE(SUBSTITUTE(Z4262,"~","~~"),"*","~*"),"?","~?"),$Z$5:$Z$5004,0)=4258,MAX($AA$4:AA4261)+1,""))</f>
        <v/>
      </c>
    </row>
    <row r="4263" spans="1:27">
      <c r="A4263" s="9"/>
      <c r="Z4263">
        <f>TRIM(A4263&amp;"")</f>
        <v/>
      </c>
      <c r="AA4263">
        <f>IF(Z4263="","",IF(MATCH(SUBSTITUTE(SUBSTITUTE(SUBSTITUTE(Z4263,"~","~~"),"*","~*"),"?","~?"),$Z$5:$Z$5004,0)=4259,MAX($AA$4:AA4262)+1,""))</f>
        <v/>
      </c>
    </row>
    <row r="4264" spans="1:27">
      <c r="A4264" s="9"/>
      <c r="Z4264">
        <f>TRIM(A4264&amp;"")</f>
        <v/>
      </c>
      <c r="AA4264">
        <f>IF(Z4264="","",IF(MATCH(SUBSTITUTE(SUBSTITUTE(SUBSTITUTE(Z4264,"~","~~"),"*","~*"),"?","~?"),$Z$5:$Z$5004,0)=4260,MAX($AA$4:AA4263)+1,""))</f>
        <v/>
      </c>
    </row>
    <row r="4265" spans="1:27">
      <c r="A4265" s="9"/>
      <c r="Z4265">
        <f>TRIM(A4265&amp;"")</f>
        <v/>
      </c>
      <c r="AA4265">
        <f>IF(Z4265="","",IF(MATCH(SUBSTITUTE(SUBSTITUTE(SUBSTITUTE(Z4265,"~","~~"),"*","~*"),"?","~?"),$Z$5:$Z$5004,0)=4261,MAX($AA$4:AA4264)+1,""))</f>
        <v/>
      </c>
    </row>
    <row r="4266" spans="1:27">
      <c r="A4266" s="9"/>
      <c r="Z4266">
        <f>TRIM(A4266&amp;"")</f>
        <v/>
      </c>
      <c r="AA4266">
        <f>IF(Z4266="","",IF(MATCH(SUBSTITUTE(SUBSTITUTE(SUBSTITUTE(Z4266,"~","~~"),"*","~*"),"?","~?"),$Z$5:$Z$5004,0)=4262,MAX($AA$4:AA4265)+1,""))</f>
        <v/>
      </c>
    </row>
    <row r="4267" spans="1:27">
      <c r="A4267" s="9"/>
      <c r="Z4267">
        <f>TRIM(A4267&amp;"")</f>
        <v/>
      </c>
      <c r="AA4267">
        <f>IF(Z4267="","",IF(MATCH(SUBSTITUTE(SUBSTITUTE(SUBSTITUTE(Z4267,"~","~~"),"*","~*"),"?","~?"),$Z$5:$Z$5004,0)=4263,MAX($AA$4:AA4266)+1,""))</f>
        <v/>
      </c>
    </row>
    <row r="4268" spans="1:27">
      <c r="A4268" s="9"/>
      <c r="Z4268">
        <f>TRIM(A4268&amp;"")</f>
        <v/>
      </c>
      <c r="AA4268">
        <f>IF(Z4268="","",IF(MATCH(SUBSTITUTE(SUBSTITUTE(SUBSTITUTE(Z4268,"~","~~"),"*","~*"),"?","~?"),$Z$5:$Z$5004,0)=4264,MAX($AA$4:AA4267)+1,""))</f>
        <v/>
      </c>
    </row>
    <row r="4269" spans="1:27">
      <c r="A4269" s="9"/>
      <c r="Z4269">
        <f>TRIM(A4269&amp;"")</f>
        <v/>
      </c>
      <c r="AA4269">
        <f>IF(Z4269="","",IF(MATCH(SUBSTITUTE(SUBSTITUTE(SUBSTITUTE(Z4269,"~","~~"),"*","~*"),"?","~?"),$Z$5:$Z$5004,0)=4265,MAX($AA$4:AA4268)+1,""))</f>
        <v/>
      </c>
    </row>
    <row r="4270" spans="1:27">
      <c r="A4270" s="9"/>
      <c r="Z4270">
        <f>TRIM(A4270&amp;"")</f>
        <v/>
      </c>
      <c r="AA4270">
        <f>IF(Z4270="","",IF(MATCH(SUBSTITUTE(SUBSTITUTE(SUBSTITUTE(Z4270,"~","~~"),"*","~*"),"?","~?"),$Z$5:$Z$5004,0)=4266,MAX($AA$4:AA4269)+1,""))</f>
        <v/>
      </c>
    </row>
    <row r="4271" spans="1:27">
      <c r="A4271" s="9"/>
      <c r="Z4271">
        <f>TRIM(A4271&amp;"")</f>
        <v/>
      </c>
      <c r="AA4271">
        <f>IF(Z4271="","",IF(MATCH(SUBSTITUTE(SUBSTITUTE(SUBSTITUTE(Z4271,"~","~~"),"*","~*"),"?","~?"),$Z$5:$Z$5004,0)=4267,MAX($AA$4:AA4270)+1,""))</f>
        <v/>
      </c>
    </row>
    <row r="4272" spans="1:27">
      <c r="A4272" s="9"/>
      <c r="Z4272">
        <f>TRIM(A4272&amp;"")</f>
        <v/>
      </c>
      <c r="AA4272">
        <f>IF(Z4272="","",IF(MATCH(SUBSTITUTE(SUBSTITUTE(SUBSTITUTE(Z4272,"~","~~"),"*","~*"),"?","~?"),$Z$5:$Z$5004,0)=4268,MAX($AA$4:AA4271)+1,""))</f>
        <v/>
      </c>
    </row>
    <row r="4273" spans="1:27">
      <c r="A4273" s="9"/>
      <c r="Z4273">
        <f>TRIM(A4273&amp;"")</f>
        <v/>
      </c>
      <c r="AA4273">
        <f>IF(Z4273="","",IF(MATCH(SUBSTITUTE(SUBSTITUTE(SUBSTITUTE(Z4273,"~","~~"),"*","~*"),"?","~?"),$Z$5:$Z$5004,0)=4269,MAX($AA$4:AA4272)+1,""))</f>
        <v/>
      </c>
    </row>
    <row r="4274" spans="1:27">
      <c r="A4274" s="9"/>
      <c r="Z4274">
        <f>TRIM(A4274&amp;"")</f>
        <v/>
      </c>
      <c r="AA4274">
        <f>IF(Z4274="","",IF(MATCH(SUBSTITUTE(SUBSTITUTE(SUBSTITUTE(Z4274,"~","~~"),"*","~*"),"?","~?"),$Z$5:$Z$5004,0)=4270,MAX($AA$4:AA4273)+1,""))</f>
        <v/>
      </c>
    </row>
    <row r="4275" spans="1:27">
      <c r="A4275" s="9"/>
      <c r="Z4275">
        <f>TRIM(A4275&amp;"")</f>
        <v/>
      </c>
      <c r="AA4275">
        <f>IF(Z4275="","",IF(MATCH(SUBSTITUTE(SUBSTITUTE(SUBSTITUTE(Z4275,"~","~~"),"*","~*"),"?","~?"),$Z$5:$Z$5004,0)=4271,MAX($AA$4:AA4274)+1,""))</f>
        <v/>
      </c>
    </row>
    <row r="4276" spans="1:27">
      <c r="A4276" s="9"/>
      <c r="Z4276">
        <f>TRIM(A4276&amp;"")</f>
        <v/>
      </c>
      <c r="AA4276">
        <f>IF(Z4276="","",IF(MATCH(SUBSTITUTE(SUBSTITUTE(SUBSTITUTE(Z4276,"~","~~"),"*","~*"),"?","~?"),$Z$5:$Z$5004,0)=4272,MAX($AA$4:AA4275)+1,""))</f>
        <v/>
      </c>
    </row>
    <row r="4277" spans="1:27">
      <c r="A4277" s="9"/>
      <c r="Z4277">
        <f>TRIM(A4277&amp;"")</f>
        <v/>
      </c>
      <c r="AA4277">
        <f>IF(Z4277="","",IF(MATCH(SUBSTITUTE(SUBSTITUTE(SUBSTITUTE(Z4277,"~","~~"),"*","~*"),"?","~?"),$Z$5:$Z$5004,0)=4273,MAX($AA$4:AA4276)+1,""))</f>
        <v/>
      </c>
    </row>
    <row r="4278" spans="1:27">
      <c r="A4278" s="9"/>
      <c r="Z4278">
        <f>TRIM(A4278&amp;"")</f>
        <v/>
      </c>
      <c r="AA4278">
        <f>IF(Z4278="","",IF(MATCH(SUBSTITUTE(SUBSTITUTE(SUBSTITUTE(Z4278,"~","~~"),"*","~*"),"?","~?"),$Z$5:$Z$5004,0)=4274,MAX($AA$4:AA4277)+1,""))</f>
        <v/>
      </c>
    </row>
    <row r="4279" spans="1:27">
      <c r="A4279" s="9"/>
      <c r="Z4279">
        <f>TRIM(A4279&amp;"")</f>
        <v/>
      </c>
      <c r="AA4279">
        <f>IF(Z4279="","",IF(MATCH(SUBSTITUTE(SUBSTITUTE(SUBSTITUTE(Z4279,"~","~~"),"*","~*"),"?","~?"),$Z$5:$Z$5004,0)=4275,MAX($AA$4:AA4278)+1,""))</f>
        <v/>
      </c>
    </row>
    <row r="4280" spans="1:27">
      <c r="A4280" s="9"/>
      <c r="Z4280">
        <f>TRIM(A4280&amp;"")</f>
        <v/>
      </c>
      <c r="AA4280">
        <f>IF(Z4280="","",IF(MATCH(SUBSTITUTE(SUBSTITUTE(SUBSTITUTE(Z4280,"~","~~"),"*","~*"),"?","~?"),$Z$5:$Z$5004,0)=4276,MAX($AA$4:AA4279)+1,""))</f>
        <v/>
      </c>
    </row>
    <row r="4281" spans="1:27">
      <c r="A4281" s="9"/>
      <c r="Z4281">
        <f>TRIM(A4281&amp;"")</f>
        <v/>
      </c>
      <c r="AA4281">
        <f>IF(Z4281="","",IF(MATCH(SUBSTITUTE(SUBSTITUTE(SUBSTITUTE(Z4281,"~","~~"),"*","~*"),"?","~?"),$Z$5:$Z$5004,0)=4277,MAX($AA$4:AA4280)+1,""))</f>
        <v/>
      </c>
    </row>
    <row r="4282" spans="1:27">
      <c r="A4282" s="9"/>
      <c r="Z4282">
        <f>TRIM(A4282&amp;"")</f>
        <v/>
      </c>
      <c r="AA4282">
        <f>IF(Z4282="","",IF(MATCH(SUBSTITUTE(SUBSTITUTE(SUBSTITUTE(Z4282,"~","~~"),"*","~*"),"?","~?"),$Z$5:$Z$5004,0)=4278,MAX($AA$4:AA4281)+1,""))</f>
        <v/>
      </c>
    </row>
    <row r="4283" spans="1:27">
      <c r="A4283" s="9"/>
      <c r="Z4283">
        <f>TRIM(A4283&amp;"")</f>
        <v/>
      </c>
      <c r="AA4283">
        <f>IF(Z4283="","",IF(MATCH(SUBSTITUTE(SUBSTITUTE(SUBSTITUTE(Z4283,"~","~~"),"*","~*"),"?","~?"),$Z$5:$Z$5004,0)=4279,MAX($AA$4:AA4282)+1,""))</f>
        <v/>
      </c>
    </row>
    <row r="4284" spans="1:27">
      <c r="A4284" s="9"/>
      <c r="Z4284">
        <f>TRIM(A4284&amp;"")</f>
        <v/>
      </c>
      <c r="AA4284">
        <f>IF(Z4284="","",IF(MATCH(SUBSTITUTE(SUBSTITUTE(SUBSTITUTE(Z4284,"~","~~"),"*","~*"),"?","~?"),$Z$5:$Z$5004,0)=4280,MAX($AA$4:AA4283)+1,""))</f>
        <v/>
      </c>
    </row>
    <row r="4285" spans="1:27">
      <c r="A4285" s="9"/>
      <c r="Z4285">
        <f>TRIM(A4285&amp;"")</f>
        <v/>
      </c>
      <c r="AA4285">
        <f>IF(Z4285="","",IF(MATCH(SUBSTITUTE(SUBSTITUTE(SUBSTITUTE(Z4285,"~","~~"),"*","~*"),"?","~?"),$Z$5:$Z$5004,0)=4281,MAX($AA$4:AA4284)+1,""))</f>
        <v/>
      </c>
    </row>
    <row r="4286" spans="1:27">
      <c r="A4286" s="9"/>
      <c r="Z4286">
        <f>TRIM(A4286&amp;"")</f>
        <v/>
      </c>
      <c r="AA4286">
        <f>IF(Z4286="","",IF(MATCH(SUBSTITUTE(SUBSTITUTE(SUBSTITUTE(Z4286,"~","~~"),"*","~*"),"?","~?"),$Z$5:$Z$5004,0)=4282,MAX($AA$4:AA4285)+1,""))</f>
        <v/>
      </c>
    </row>
    <row r="4287" spans="1:27">
      <c r="A4287" s="9"/>
      <c r="Z4287">
        <f>TRIM(A4287&amp;"")</f>
        <v/>
      </c>
      <c r="AA4287">
        <f>IF(Z4287="","",IF(MATCH(SUBSTITUTE(SUBSTITUTE(SUBSTITUTE(Z4287,"~","~~"),"*","~*"),"?","~?"),$Z$5:$Z$5004,0)=4283,MAX($AA$4:AA4286)+1,""))</f>
        <v/>
      </c>
    </row>
    <row r="4288" spans="1:27">
      <c r="A4288" s="9"/>
      <c r="Z4288">
        <f>TRIM(A4288&amp;"")</f>
        <v/>
      </c>
      <c r="AA4288">
        <f>IF(Z4288="","",IF(MATCH(SUBSTITUTE(SUBSTITUTE(SUBSTITUTE(Z4288,"~","~~"),"*","~*"),"?","~?"),$Z$5:$Z$5004,0)=4284,MAX($AA$4:AA4287)+1,""))</f>
        <v/>
      </c>
    </row>
    <row r="4289" spans="1:27">
      <c r="A4289" s="9"/>
      <c r="Z4289">
        <f>TRIM(A4289&amp;"")</f>
        <v/>
      </c>
      <c r="AA4289">
        <f>IF(Z4289="","",IF(MATCH(SUBSTITUTE(SUBSTITUTE(SUBSTITUTE(Z4289,"~","~~"),"*","~*"),"?","~?"),$Z$5:$Z$5004,0)=4285,MAX($AA$4:AA4288)+1,""))</f>
        <v/>
      </c>
    </row>
    <row r="4290" spans="1:27">
      <c r="A4290" s="9"/>
      <c r="Z4290">
        <f>TRIM(A4290&amp;"")</f>
        <v/>
      </c>
      <c r="AA4290">
        <f>IF(Z4290="","",IF(MATCH(SUBSTITUTE(SUBSTITUTE(SUBSTITUTE(Z4290,"~","~~"),"*","~*"),"?","~?"),$Z$5:$Z$5004,0)=4286,MAX($AA$4:AA4289)+1,""))</f>
        <v/>
      </c>
    </row>
    <row r="4291" spans="1:27">
      <c r="A4291" s="9"/>
      <c r="Z4291">
        <f>TRIM(A4291&amp;"")</f>
        <v/>
      </c>
      <c r="AA4291">
        <f>IF(Z4291="","",IF(MATCH(SUBSTITUTE(SUBSTITUTE(SUBSTITUTE(Z4291,"~","~~"),"*","~*"),"?","~?"),$Z$5:$Z$5004,0)=4287,MAX($AA$4:AA4290)+1,""))</f>
        <v/>
      </c>
    </row>
    <row r="4292" spans="1:27">
      <c r="A4292" s="9"/>
      <c r="Z4292">
        <f>TRIM(A4292&amp;"")</f>
        <v/>
      </c>
      <c r="AA4292">
        <f>IF(Z4292="","",IF(MATCH(SUBSTITUTE(SUBSTITUTE(SUBSTITUTE(Z4292,"~","~~"),"*","~*"),"?","~?"),$Z$5:$Z$5004,0)=4288,MAX($AA$4:AA4291)+1,""))</f>
        <v/>
      </c>
    </row>
    <row r="4293" spans="1:27">
      <c r="A4293" s="9"/>
      <c r="Z4293">
        <f>TRIM(A4293&amp;"")</f>
        <v/>
      </c>
      <c r="AA4293">
        <f>IF(Z4293="","",IF(MATCH(SUBSTITUTE(SUBSTITUTE(SUBSTITUTE(Z4293,"~","~~"),"*","~*"),"?","~?"),$Z$5:$Z$5004,0)=4289,MAX($AA$4:AA4292)+1,""))</f>
        <v/>
      </c>
    </row>
    <row r="4294" spans="1:27">
      <c r="A4294" s="9"/>
      <c r="Z4294">
        <f>TRIM(A4294&amp;"")</f>
        <v/>
      </c>
      <c r="AA4294">
        <f>IF(Z4294="","",IF(MATCH(SUBSTITUTE(SUBSTITUTE(SUBSTITUTE(Z4294,"~","~~"),"*","~*"),"?","~?"),$Z$5:$Z$5004,0)=4290,MAX($AA$4:AA4293)+1,""))</f>
        <v/>
      </c>
    </row>
    <row r="4295" spans="1:27">
      <c r="A4295" s="9"/>
      <c r="Z4295">
        <f>TRIM(A4295&amp;"")</f>
        <v/>
      </c>
      <c r="AA4295">
        <f>IF(Z4295="","",IF(MATCH(SUBSTITUTE(SUBSTITUTE(SUBSTITUTE(Z4295,"~","~~"),"*","~*"),"?","~?"),$Z$5:$Z$5004,0)=4291,MAX($AA$4:AA4294)+1,""))</f>
        <v/>
      </c>
    </row>
    <row r="4296" spans="1:27">
      <c r="A4296" s="9"/>
      <c r="Z4296">
        <f>TRIM(A4296&amp;"")</f>
        <v/>
      </c>
      <c r="AA4296">
        <f>IF(Z4296="","",IF(MATCH(SUBSTITUTE(SUBSTITUTE(SUBSTITUTE(Z4296,"~","~~"),"*","~*"),"?","~?"),$Z$5:$Z$5004,0)=4292,MAX($AA$4:AA4295)+1,""))</f>
        <v/>
      </c>
    </row>
    <row r="4297" spans="1:27">
      <c r="A4297" s="9"/>
      <c r="Z4297">
        <f>TRIM(A4297&amp;"")</f>
        <v/>
      </c>
      <c r="AA4297">
        <f>IF(Z4297="","",IF(MATCH(SUBSTITUTE(SUBSTITUTE(SUBSTITUTE(Z4297,"~","~~"),"*","~*"),"?","~?"),$Z$5:$Z$5004,0)=4293,MAX($AA$4:AA4296)+1,""))</f>
        <v/>
      </c>
    </row>
    <row r="4298" spans="1:27">
      <c r="A4298" s="9"/>
      <c r="Z4298">
        <f>TRIM(A4298&amp;"")</f>
        <v/>
      </c>
      <c r="AA4298">
        <f>IF(Z4298="","",IF(MATCH(SUBSTITUTE(SUBSTITUTE(SUBSTITUTE(Z4298,"~","~~"),"*","~*"),"?","~?"),$Z$5:$Z$5004,0)=4294,MAX($AA$4:AA4297)+1,""))</f>
        <v/>
      </c>
    </row>
    <row r="4299" spans="1:27">
      <c r="A4299" s="9"/>
      <c r="Z4299">
        <f>TRIM(A4299&amp;"")</f>
        <v/>
      </c>
      <c r="AA4299">
        <f>IF(Z4299="","",IF(MATCH(SUBSTITUTE(SUBSTITUTE(SUBSTITUTE(Z4299,"~","~~"),"*","~*"),"?","~?"),$Z$5:$Z$5004,0)=4295,MAX($AA$4:AA4298)+1,""))</f>
        <v/>
      </c>
    </row>
    <row r="4300" spans="1:27">
      <c r="A4300" s="9"/>
      <c r="Z4300">
        <f>TRIM(A4300&amp;"")</f>
        <v/>
      </c>
      <c r="AA4300">
        <f>IF(Z4300="","",IF(MATCH(SUBSTITUTE(SUBSTITUTE(SUBSTITUTE(Z4300,"~","~~"),"*","~*"),"?","~?"),$Z$5:$Z$5004,0)=4296,MAX($AA$4:AA4299)+1,""))</f>
        <v/>
      </c>
    </row>
    <row r="4301" spans="1:27">
      <c r="A4301" s="9"/>
      <c r="Z4301">
        <f>TRIM(A4301&amp;"")</f>
        <v/>
      </c>
      <c r="AA4301">
        <f>IF(Z4301="","",IF(MATCH(SUBSTITUTE(SUBSTITUTE(SUBSTITUTE(Z4301,"~","~~"),"*","~*"),"?","~?"),$Z$5:$Z$5004,0)=4297,MAX($AA$4:AA4300)+1,""))</f>
        <v/>
      </c>
    </row>
    <row r="4302" spans="1:27">
      <c r="A4302" s="9"/>
      <c r="Z4302">
        <f>TRIM(A4302&amp;"")</f>
        <v/>
      </c>
      <c r="AA4302">
        <f>IF(Z4302="","",IF(MATCH(SUBSTITUTE(SUBSTITUTE(SUBSTITUTE(Z4302,"~","~~"),"*","~*"),"?","~?"),$Z$5:$Z$5004,0)=4298,MAX($AA$4:AA4301)+1,""))</f>
        <v/>
      </c>
    </row>
    <row r="4303" spans="1:27">
      <c r="A4303" s="9"/>
      <c r="Z4303">
        <f>TRIM(A4303&amp;"")</f>
        <v/>
      </c>
      <c r="AA4303">
        <f>IF(Z4303="","",IF(MATCH(SUBSTITUTE(SUBSTITUTE(SUBSTITUTE(Z4303,"~","~~"),"*","~*"),"?","~?"),$Z$5:$Z$5004,0)=4299,MAX($AA$4:AA4302)+1,""))</f>
        <v/>
      </c>
    </row>
    <row r="4304" spans="1:27">
      <c r="A4304" s="9"/>
      <c r="Z4304">
        <f>TRIM(A4304&amp;"")</f>
        <v/>
      </c>
      <c r="AA4304">
        <f>IF(Z4304="","",IF(MATCH(SUBSTITUTE(SUBSTITUTE(SUBSTITUTE(Z4304,"~","~~"),"*","~*"),"?","~?"),$Z$5:$Z$5004,0)=4300,MAX($AA$4:AA4303)+1,""))</f>
        <v/>
      </c>
    </row>
    <row r="4305" spans="1:27">
      <c r="A4305" s="9"/>
      <c r="Z4305">
        <f>TRIM(A4305&amp;"")</f>
        <v/>
      </c>
      <c r="AA4305">
        <f>IF(Z4305="","",IF(MATCH(SUBSTITUTE(SUBSTITUTE(SUBSTITUTE(Z4305,"~","~~"),"*","~*"),"?","~?"),$Z$5:$Z$5004,0)=4301,MAX($AA$4:AA4304)+1,""))</f>
        <v/>
      </c>
    </row>
    <row r="4306" spans="1:27">
      <c r="A4306" s="9"/>
      <c r="Z4306">
        <f>TRIM(A4306&amp;"")</f>
        <v/>
      </c>
      <c r="AA4306">
        <f>IF(Z4306="","",IF(MATCH(SUBSTITUTE(SUBSTITUTE(SUBSTITUTE(Z4306,"~","~~"),"*","~*"),"?","~?"),$Z$5:$Z$5004,0)=4302,MAX($AA$4:AA4305)+1,""))</f>
        <v/>
      </c>
    </row>
    <row r="4307" spans="1:27">
      <c r="A4307" s="9"/>
      <c r="Z4307">
        <f>TRIM(A4307&amp;"")</f>
        <v/>
      </c>
      <c r="AA4307">
        <f>IF(Z4307="","",IF(MATCH(SUBSTITUTE(SUBSTITUTE(SUBSTITUTE(Z4307,"~","~~"),"*","~*"),"?","~?"),$Z$5:$Z$5004,0)=4303,MAX($AA$4:AA4306)+1,""))</f>
        <v/>
      </c>
    </row>
    <row r="4308" spans="1:27">
      <c r="A4308" s="9"/>
      <c r="Z4308">
        <f>TRIM(A4308&amp;"")</f>
        <v/>
      </c>
      <c r="AA4308">
        <f>IF(Z4308="","",IF(MATCH(SUBSTITUTE(SUBSTITUTE(SUBSTITUTE(Z4308,"~","~~"),"*","~*"),"?","~?"),$Z$5:$Z$5004,0)=4304,MAX($AA$4:AA4307)+1,""))</f>
        <v/>
      </c>
    </row>
    <row r="4309" spans="1:27">
      <c r="A4309" s="9"/>
      <c r="Z4309">
        <f>TRIM(A4309&amp;"")</f>
        <v/>
      </c>
      <c r="AA4309">
        <f>IF(Z4309="","",IF(MATCH(SUBSTITUTE(SUBSTITUTE(SUBSTITUTE(Z4309,"~","~~"),"*","~*"),"?","~?"),$Z$5:$Z$5004,0)=4305,MAX($AA$4:AA4308)+1,""))</f>
        <v/>
      </c>
    </row>
    <row r="4310" spans="1:27">
      <c r="A4310" s="9"/>
      <c r="Z4310">
        <f>TRIM(A4310&amp;"")</f>
        <v/>
      </c>
      <c r="AA4310">
        <f>IF(Z4310="","",IF(MATCH(SUBSTITUTE(SUBSTITUTE(SUBSTITUTE(Z4310,"~","~~"),"*","~*"),"?","~?"),$Z$5:$Z$5004,0)=4306,MAX($AA$4:AA4309)+1,""))</f>
        <v/>
      </c>
    </row>
    <row r="4311" spans="1:27">
      <c r="A4311" s="9"/>
      <c r="Z4311">
        <f>TRIM(A4311&amp;"")</f>
        <v/>
      </c>
      <c r="AA4311">
        <f>IF(Z4311="","",IF(MATCH(SUBSTITUTE(SUBSTITUTE(SUBSTITUTE(Z4311,"~","~~"),"*","~*"),"?","~?"),$Z$5:$Z$5004,0)=4307,MAX($AA$4:AA4310)+1,""))</f>
        <v/>
      </c>
    </row>
    <row r="4312" spans="1:27">
      <c r="A4312" s="9"/>
      <c r="Z4312">
        <f>TRIM(A4312&amp;"")</f>
        <v/>
      </c>
      <c r="AA4312">
        <f>IF(Z4312="","",IF(MATCH(SUBSTITUTE(SUBSTITUTE(SUBSTITUTE(Z4312,"~","~~"),"*","~*"),"?","~?"),$Z$5:$Z$5004,0)=4308,MAX($AA$4:AA4311)+1,""))</f>
        <v/>
      </c>
    </row>
    <row r="4313" spans="1:27">
      <c r="A4313" s="9"/>
      <c r="Z4313">
        <f>TRIM(A4313&amp;"")</f>
        <v/>
      </c>
      <c r="AA4313">
        <f>IF(Z4313="","",IF(MATCH(SUBSTITUTE(SUBSTITUTE(SUBSTITUTE(Z4313,"~","~~"),"*","~*"),"?","~?"),$Z$5:$Z$5004,0)=4309,MAX($AA$4:AA4312)+1,""))</f>
        <v/>
      </c>
    </row>
    <row r="4314" spans="1:27">
      <c r="A4314" s="9"/>
      <c r="Z4314">
        <f>TRIM(A4314&amp;"")</f>
        <v/>
      </c>
      <c r="AA4314">
        <f>IF(Z4314="","",IF(MATCH(SUBSTITUTE(SUBSTITUTE(SUBSTITUTE(Z4314,"~","~~"),"*","~*"),"?","~?"),$Z$5:$Z$5004,0)=4310,MAX($AA$4:AA4313)+1,""))</f>
        <v/>
      </c>
    </row>
    <row r="4315" spans="1:27">
      <c r="A4315" s="9"/>
      <c r="Z4315">
        <f>TRIM(A4315&amp;"")</f>
        <v/>
      </c>
      <c r="AA4315">
        <f>IF(Z4315="","",IF(MATCH(SUBSTITUTE(SUBSTITUTE(SUBSTITUTE(Z4315,"~","~~"),"*","~*"),"?","~?"),$Z$5:$Z$5004,0)=4311,MAX($AA$4:AA4314)+1,""))</f>
        <v/>
      </c>
    </row>
    <row r="4316" spans="1:27">
      <c r="A4316" s="9"/>
      <c r="Z4316">
        <f>TRIM(A4316&amp;"")</f>
        <v/>
      </c>
      <c r="AA4316">
        <f>IF(Z4316="","",IF(MATCH(SUBSTITUTE(SUBSTITUTE(SUBSTITUTE(Z4316,"~","~~"),"*","~*"),"?","~?"),$Z$5:$Z$5004,0)=4312,MAX($AA$4:AA4315)+1,""))</f>
        <v/>
      </c>
    </row>
    <row r="4317" spans="1:27">
      <c r="A4317" s="9"/>
      <c r="Z4317">
        <f>TRIM(A4317&amp;"")</f>
        <v/>
      </c>
      <c r="AA4317">
        <f>IF(Z4317="","",IF(MATCH(SUBSTITUTE(SUBSTITUTE(SUBSTITUTE(Z4317,"~","~~"),"*","~*"),"?","~?"),$Z$5:$Z$5004,0)=4313,MAX($AA$4:AA4316)+1,""))</f>
        <v/>
      </c>
    </row>
    <row r="4318" spans="1:27">
      <c r="A4318" s="9"/>
      <c r="Z4318">
        <f>TRIM(A4318&amp;"")</f>
        <v/>
      </c>
      <c r="AA4318">
        <f>IF(Z4318="","",IF(MATCH(SUBSTITUTE(SUBSTITUTE(SUBSTITUTE(Z4318,"~","~~"),"*","~*"),"?","~?"),$Z$5:$Z$5004,0)=4314,MAX($AA$4:AA4317)+1,""))</f>
        <v/>
      </c>
    </row>
    <row r="4319" spans="1:27">
      <c r="A4319" s="9"/>
      <c r="Z4319">
        <f>TRIM(A4319&amp;"")</f>
        <v/>
      </c>
      <c r="AA4319">
        <f>IF(Z4319="","",IF(MATCH(SUBSTITUTE(SUBSTITUTE(SUBSTITUTE(Z4319,"~","~~"),"*","~*"),"?","~?"),$Z$5:$Z$5004,0)=4315,MAX($AA$4:AA4318)+1,""))</f>
        <v/>
      </c>
    </row>
    <row r="4320" spans="1:27">
      <c r="A4320" s="9"/>
      <c r="Z4320">
        <f>TRIM(A4320&amp;"")</f>
        <v/>
      </c>
      <c r="AA4320">
        <f>IF(Z4320="","",IF(MATCH(SUBSTITUTE(SUBSTITUTE(SUBSTITUTE(Z4320,"~","~~"),"*","~*"),"?","~?"),$Z$5:$Z$5004,0)=4316,MAX($AA$4:AA4319)+1,""))</f>
        <v/>
      </c>
    </row>
    <row r="4321" spans="1:27">
      <c r="A4321" s="9"/>
      <c r="Z4321">
        <f>TRIM(A4321&amp;"")</f>
        <v/>
      </c>
      <c r="AA4321">
        <f>IF(Z4321="","",IF(MATCH(SUBSTITUTE(SUBSTITUTE(SUBSTITUTE(Z4321,"~","~~"),"*","~*"),"?","~?"),$Z$5:$Z$5004,0)=4317,MAX($AA$4:AA4320)+1,""))</f>
        <v/>
      </c>
    </row>
    <row r="4322" spans="1:27">
      <c r="A4322" s="9"/>
      <c r="Z4322">
        <f>TRIM(A4322&amp;"")</f>
        <v/>
      </c>
      <c r="AA4322">
        <f>IF(Z4322="","",IF(MATCH(SUBSTITUTE(SUBSTITUTE(SUBSTITUTE(Z4322,"~","~~"),"*","~*"),"?","~?"),$Z$5:$Z$5004,0)=4318,MAX($AA$4:AA4321)+1,""))</f>
        <v/>
      </c>
    </row>
    <row r="4323" spans="1:27">
      <c r="A4323" s="9"/>
      <c r="Z4323">
        <f>TRIM(A4323&amp;"")</f>
        <v/>
      </c>
      <c r="AA4323">
        <f>IF(Z4323="","",IF(MATCH(SUBSTITUTE(SUBSTITUTE(SUBSTITUTE(Z4323,"~","~~"),"*","~*"),"?","~?"),$Z$5:$Z$5004,0)=4319,MAX($AA$4:AA4322)+1,""))</f>
        <v/>
      </c>
    </row>
    <row r="4324" spans="1:27">
      <c r="A4324" s="9"/>
      <c r="Z4324">
        <f>TRIM(A4324&amp;"")</f>
        <v/>
      </c>
      <c r="AA4324">
        <f>IF(Z4324="","",IF(MATCH(SUBSTITUTE(SUBSTITUTE(SUBSTITUTE(Z4324,"~","~~"),"*","~*"),"?","~?"),$Z$5:$Z$5004,0)=4320,MAX($AA$4:AA4323)+1,""))</f>
        <v/>
      </c>
    </row>
    <row r="4325" spans="1:27">
      <c r="A4325" s="9"/>
      <c r="Z4325">
        <f>TRIM(A4325&amp;"")</f>
        <v/>
      </c>
      <c r="AA4325">
        <f>IF(Z4325="","",IF(MATCH(SUBSTITUTE(SUBSTITUTE(SUBSTITUTE(Z4325,"~","~~"),"*","~*"),"?","~?"),$Z$5:$Z$5004,0)=4321,MAX($AA$4:AA4324)+1,""))</f>
        <v/>
      </c>
    </row>
    <row r="4326" spans="1:27">
      <c r="A4326" s="9"/>
      <c r="Z4326">
        <f>TRIM(A4326&amp;"")</f>
        <v/>
      </c>
      <c r="AA4326">
        <f>IF(Z4326="","",IF(MATCH(SUBSTITUTE(SUBSTITUTE(SUBSTITUTE(Z4326,"~","~~"),"*","~*"),"?","~?"),$Z$5:$Z$5004,0)=4322,MAX($AA$4:AA4325)+1,""))</f>
        <v/>
      </c>
    </row>
    <row r="4327" spans="1:27">
      <c r="A4327" s="9"/>
      <c r="Z4327">
        <f>TRIM(A4327&amp;"")</f>
        <v/>
      </c>
      <c r="AA4327">
        <f>IF(Z4327="","",IF(MATCH(SUBSTITUTE(SUBSTITUTE(SUBSTITUTE(Z4327,"~","~~"),"*","~*"),"?","~?"),$Z$5:$Z$5004,0)=4323,MAX($AA$4:AA4326)+1,""))</f>
        <v/>
      </c>
    </row>
    <row r="4328" spans="1:27">
      <c r="A4328" s="9"/>
      <c r="Z4328">
        <f>TRIM(A4328&amp;"")</f>
        <v/>
      </c>
      <c r="AA4328">
        <f>IF(Z4328="","",IF(MATCH(SUBSTITUTE(SUBSTITUTE(SUBSTITUTE(Z4328,"~","~~"),"*","~*"),"?","~?"),$Z$5:$Z$5004,0)=4324,MAX($AA$4:AA4327)+1,""))</f>
        <v/>
      </c>
    </row>
    <row r="4329" spans="1:27">
      <c r="A4329" s="9"/>
      <c r="Z4329">
        <f>TRIM(A4329&amp;"")</f>
        <v/>
      </c>
      <c r="AA4329">
        <f>IF(Z4329="","",IF(MATCH(SUBSTITUTE(SUBSTITUTE(SUBSTITUTE(Z4329,"~","~~"),"*","~*"),"?","~?"),$Z$5:$Z$5004,0)=4325,MAX($AA$4:AA4328)+1,""))</f>
        <v/>
      </c>
    </row>
    <row r="4330" spans="1:27">
      <c r="A4330" s="9"/>
      <c r="Z4330">
        <f>TRIM(A4330&amp;"")</f>
        <v/>
      </c>
      <c r="AA4330">
        <f>IF(Z4330="","",IF(MATCH(SUBSTITUTE(SUBSTITUTE(SUBSTITUTE(Z4330,"~","~~"),"*","~*"),"?","~?"),$Z$5:$Z$5004,0)=4326,MAX($AA$4:AA4329)+1,""))</f>
        <v/>
      </c>
    </row>
    <row r="4331" spans="1:27">
      <c r="A4331" s="9"/>
      <c r="Z4331">
        <f>TRIM(A4331&amp;"")</f>
        <v/>
      </c>
      <c r="AA4331">
        <f>IF(Z4331="","",IF(MATCH(SUBSTITUTE(SUBSTITUTE(SUBSTITUTE(Z4331,"~","~~"),"*","~*"),"?","~?"),$Z$5:$Z$5004,0)=4327,MAX($AA$4:AA4330)+1,""))</f>
        <v/>
      </c>
    </row>
    <row r="4332" spans="1:27">
      <c r="A4332" s="9"/>
      <c r="Z4332">
        <f>TRIM(A4332&amp;"")</f>
        <v/>
      </c>
      <c r="AA4332">
        <f>IF(Z4332="","",IF(MATCH(SUBSTITUTE(SUBSTITUTE(SUBSTITUTE(Z4332,"~","~~"),"*","~*"),"?","~?"),$Z$5:$Z$5004,0)=4328,MAX($AA$4:AA4331)+1,""))</f>
        <v/>
      </c>
    </row>
    <row r="4333" spans="1:27">
      <c r="A4333" s="9"/>
      <c r="Z4333">
        <f>TRIM(A4333&amp;"")</f>
        <v/>
      </c>
      <c r="AA4333">
        <f>IF(Z4333="","",IF(MATCH(SUBSTITUTE(SUBSTITUTE(SUBSTITUTE(Z4333,"~","~~"),"*","~*"),"?","~?"),$Z$5:$Z$5004,0)=4329,MAX($AA$4:AA4332)+1,""))</f>
        <v/>
      </c>
    </row>
    <row r="4334" spans="1:27">
      <c r="A4334" s="9"/>
      <c r="Z4334">
        <f>TRIM(A4334&amp;"")</f>
        <v/>
      </c>
      <c r="AA4334">
        <f>IF(Z4334="","",IF(MATCH(SUBSTITUTE(SUBSTITUTE(SUBSTITUTE(Z4334,"~","~~"),"*","~*"),"?","~?"),$Z$5:$Z$5004,0)=4330,MAX($AA$4:AA4333)+1,""))</f>
        <v/>
      </c>
    </row>
    <row r="4335" spans="1:27">
      <c r="A4335" s="9"/>
      <c r="Z4335">
        <f>TRIM(A4335&amp;"")</f>
        <v/>
      </c>
      <c r="AA4335">
        <f>IF(Z4335="","",IF(MATCH(SUBSTITUTE(SUBSTITUTE(SUBSTITUTE(Z4335,"~","~~"),"*","~*"),"?","~?"),$Z$5:$Z$5004,0)=4331,MAX($AA$4:AA4334)+1,""))</f>
        <v/>
      </c>
    </row>
    <row r="4336" spans="1:27">
      <c r="A4336" s="9"/>
      <c r="Z4336">
        <f>TRIM(A4336&amp;"")</f>
        <v/>
      </c>
      <c r="AA4336">
        <f>IF(Z4336="","",IF(MATCH(SUBSTITUTE(SUBSTITUTE(SUBSTITUTE(Z4336,"~","~~"),"*","~*"),"?","~?"),$Z$5:$Z$5004,0)=4332,MAX($AA$4:AA4335)+1,""))</f>
        <v/>
      </c>
    </row>
    <row r="4337" spans="1:27">
      <c r="A4337" s="9"/>
      <c r="Z4337">
        <f>TRIM(A4337&amp;"")</f>
        <v/>
      </c>
      <c r="AA4337">
        <f>IF(Z4337="","",IF(MATCH(SUBSTITUTE(SUBSTITUTE(SUBSTITUTE(Z4337,"~","~~"),"*","~*"),"?","~?"),$Z$5:$Z$5004,0)=4333,MAX($AA$4:AA4336)+1,""))</f>
        <v/>
      </c>
    </row>
    <row r="4338" spans="1:27">
      <c r="A4338" s="9"/>
      <c r="Z4338">
        <f>TRIM(A4338&amp;"")</f>
        <v/>
      </c>
      <c r="AA4338">
        <f>IF(Z4338="","",IF(MATCH(SUBSTITUTE(SUBSTITUTE(SUBSTITUTE(Z4338,"~","~~"),"*","~*"),"?","~?"),$Z$5:$Z$5004,0)=4334,MAX($AA$4:AA4337)+1,""))</f>
        <v/>
      </c>
    </row>
    <row r="4339" spans="1:27">
      <c r="A4339" s="9"/>
      <c r="Z4339">
        <f>TRIM(A4339&amp;"")</f>
        <v/>
      </c>
      <c r="AA4339">
        <f>IF(Z4339="","",IF(MATCH(SUBSTITUTE(SUBSTITUTE(SUBSTITUTE(Z4339,"~","~~"),"*","~*"),"?","~?"),$Z$5:$Z$5004,0)=4335,MAX($AA$4:AA4338)+1,""))</f>
        <v/>
      </c>
    </row>
    <row r="4340" spans="1:27">
      <c r="A4340" s="9"/>
      <c r="Z4340">
        <f>TRIM(A4340&amp;"")</f>
        <v/>
      </c>
      <c r="AA4340">
        <f>IF(Z4340="","",IF(MATCH(SUBSTITUTE(SUBSTITUTE(SUBSTITUTE(Z4340,"~","~~"),"*","~*"),"?","~?"),$Z$5:$Z$5004,0)=4336,MAX($AA$4:AA4339)+1,""))</f>
        <v/>
      </c>
    </row>
    <row r="4341" spans="1:27">
      <c r="A4341" s="9"/>
      <c r="Z4341">
        <f>TRIM(A4341&amp;"")</f>
        <v/>
      </c>
      <c r="AA4341">
        <f>IF(Z4341="","",IF(MATCH(SUBSTITUTE(SUBSTITUTE(SUBSTITUTE(Z4341,"~","~~"),"*","~*"),"?","~?"),$Z$5:$Z$5004,0)=4337,MAX($AA$4:AA4340)+1,""))</f>
        <v/>
      </c>
    </row>
    <row r="4342" spans="1:27">
      <c r="A4342" s="9"/>
      <c r="Z4342">
        <f>TRIM(A4342&amp;"")</f>
        <v/>
      </c>
      <c r="AA4342">
        <f>IF(Z4342="","",IF(MATCH(SUBSTITUTE(SUBSTITUTE(SUBSTITUTE(Z4342,"~","~~"),"*","~*"),"?","~?"),$Z$5:$Z$5004,0)=4338,MAX($AA$4:AA4341)+1,""))</f>
        <v/>
      </c>
    </row>
    <row r="4343" spans="1:27">
      <c r="A4343" s="9"/>
      <c r="Z4343">
        <f>TRIM(A4343&amp;"")</f>
        <v/>
      </c>
      <c r="AA4343">
        <f>IF(Z4343="","",IF(MATCH(SUBSTITUTE(SUBSTITUTE(SUBSTITUTE(Z4343,"~","~~"),"*","~*"),"?","~?"),$Z$5:$Z$5004,0)=4339,MAX($AA$4:AA4342)+1,""))</f>
        <v/>
      </c>
    </row>
    <row r="4344" spans="1:27">
      <c r="A4344" s="9"/>
      <c r="Z4344">
        <f>TRIM(A4344&amp;"")</f>
        <v/>
      </c>
      <c r="AA4344">
        <f>IF(Z4344="","",IF(MATCH(SUBSTITUTE(SUBSTITUTE(SUBSTITUTE(Z4344,"~","~~"),"*","~*"),"?","~?"),$Z$5:$Z$5004,0)=4340,MAX($AA$4:AA4343)+1,""))</f>
        <v/>
      </c>
    </row>
    <row r="4345" spans="1:27">
      <c r="A4345" s="9"/>
      <c r="Z4345">
        <f>TRIM(A4345&amp;"")</f>
        <v/>
      </c>
      <c r="AA4345">
        <f>IF(Z4345="","",IF(MATCH(SUBSTITUTE(SUBSTITUTE(SUBSTITUTE(Z4345,"~","~~"),"*","~*"),"?","~?"),$Z$5:$Z$5004,0)=4341,MAX($AA$4:AA4344)+1,""))</f>
        <v/>
      </c>
    </row>
    <row r="4346" spans="1:27">
      <c r="A4346" s="9"/>
      <c r="Z4346">
        <f>TRIM(A4346&amp;"")</f>
        <v/>
      </c>
      <c r="AA4346">
        <f>IF(Z4346="","",IF(MATCH(SUBSTITUTE(SUBSTITUTE(SUBSTITUTE(Z4346,"~","~~"),"*","~*"),"?","~?"),$Z$5:$Z$5004,0)=4342,MAX($AA$4:AA4345)+1,""))</f>
        <v/>
      </c>
    </row>
    <row r="4347" spans="1:27">
      <c r="A4347" s="9"/>
      <c r="Z4347">
        <f>TRIM(A4347&amp;"")</f>
        <v/>
      </c>
      <c r="AA4347">
        <f>IF(Z4347="","",IF(MATCH(SUBSTITUTE(SUBSTITUTE(SUBSTITUTE(Z4347,"~","~~"),"*","~*"),"?","~?"),$Z$5:$Z$5004,0)=4343,MAX($AA$4:AA4346)+1,""))</f>
        <v/>
      </c>
    </row>
    <row r="4348" spans="1:27">
      <c r="A4348" s="9"/>
      <c r="Z4348">
        <f>TRIM(A4348&amp;"")</f>
        <v/>
      </c>
      <c r="AA4348">
        <f>IF(Z4348="","",IF(MATCH(SUBSTITUTE(SUBSTITUTE(SUBSTITUTE(Z4348,"~","~~"),"*","~*"),"?","~?"),$Z$5:$Z$5004,0)=4344,MAX($AA$4:AA4347)+1,""))</f>
        <v/>
      </c>
    </row>
    <row r="4349" spans="1:27">
      <c r="A4349" s="9"/>
      <c r="Z4349">
        <f>TRIM(A4349&amp;"")</f>
        <v/>
      </c>
      <c r="AA4349">
        <f>IF(Z4349="","",IF(MATCH(SUBSTITUTE(SUBSTITUTE(SUBSTITUTE(Z4349,"~","~~"),"*","~*"),"?","~?"),$Z$5:$Z$5004,0)=4345,MAX($AA$4:AA4348)+1,""))</f>
        <v/>
      </c>
    </row>
    <row r="4350" spans="1:27">
      <c r="A4350" s="9"/>
      <c r="Z4350">
        <f>TRIM(A4350&amp;"")</f>
        <v/>
      </c>
      <c r="AA4350">
        <f>IF(Z4350="","",IF(MATCH(SUBSTITUTE(SUBSTITUTE(SUBSTITUTE(Z4350,"~","~~"),"*","~*"),"?","~?"),$Z$5:$Z$5004,0)=4346,MAX($AA$4:AA4349)+1,""))</f>
        <v/>
      </c>
    </row>
    <row r="4351" spans="1:27">
      <c r="A4351" s="9"/>
      <c r="Z4351">
        <f>TRIM(A4351&amp;"")</f>
        <v/>
      </c>
      <c r="AA4351">
        <f>IF(Z4351="","",IF(MATCH(SUBSTITUTE(SUBSTITUTE(SUBSTITUTE(Z4351,"~","~~"),"*","~*"),"?","~?"),$Z$5:$Z$5004,0)=4347,MAX($AA$4:AA4350)+1,""))</f>
        <v/>
      </c>
    </row>
    <row r="4352" spans="1:27">
      <c r="A4352" s="9"/>
      <c r="Z4352">
        <f>TRIM(A4352&amp;"")</f>
        <v/>
      </c>
      <c r="AA4352">
        <f>IF(Z4352="","",IF(MATCH(SUBSTITUTE(SUBSTITUTE(SUBSTITUTE(Z4352,"~","~~"),"*","~*"),"?","~?"),$Z$5:$Z$5004,0)=4348,MAX($AA$4:AA4351)+1,""))</f>
        <v/>
      </c>
    </row>
    <row r="4353" spans="1:27">
      <c r="A4353" s="9"/>
      <c r="Z4353">
        <f>TRIM(A4353&amp;"")</f>
        <v/>
      </c>
      <c r="AA4353">
        <f>IF(Z4353="","",IF(MATCH(SUBSTITUTE(SUBSTITUTE(SUBSTITUTE(Z4353,"~","~~"),"*","~*"),"?","~?"),$Z$5:$Z$5004,0)=4349,MAX($AA$4:AA4352)+1,""))</f>
        <v/>
      </c>
    </row>
    <row r="4354" spans="1:27">
      <c r="A4354" s="9"/>
      <c r="Z4354">
        <f>TRIM(A4354&amp;"")</f>
        <v/>
      </c>
      <c r="AA4354">
        <f>IF(Z4354="","",IF(MATCH(SUBSTITUTE(SUBSTITUTE(SUBSTITUTE(Z4354,"~","~~"),"*","~*"),"?","~?"),$Z$5:$Z$5004,0)=4350,MAX($AA$4:AA4353)+1,""))</f>
        <v/>
      </c>
    </row>
    <row r="4355" spans="1:27">
      <c r="A4355" s="9"/>
      <c r="Z4355">
        <f>TRIM(A4355&amp;"")</f>
        <v/>
      </c>
      <c r="AA4355">
        <f>IF(Z4355="","",IF(MATCH(SUBSTITUTE(SUBSTITUTE(SUBSTITUTE(Z4355,"~","~~"),"*","~*"),"?","~?"),$Z$5:$Z$5004,0)=4351,MAX($AA$4:AA4354)+1,""))</f>
        <v/>
      </c>
    </row>
    <row r="4356" spans="1:27">
      <c r="A4356" s="9"/>
      <c r="Z4356">
        <f>TRIM(A4356&amp;"")</f>
        <v/>
      </c>
      <c r="AA4356">
        <f>IF(Z4356="","",IF(MATCH(SUBSTITUTE(SUBSTITUTE(SUBSTITUTE(Z4356,"~","~~"),"*","~*"),"?","~?"),$Z$5:$Z$5004,0)=4352,MAX($AA$4:AA4355)+1,""))</f>
        <v/>
      </c>
    </row>
    <row r="4357" spans="1:27">
      <c r="A4357" s="9"/>
      <c r="Z4357">
        <f>TRIM(A4357&amp;"")</f>
        <v/>
      </c>
      <c r="AA4357">
        <f>IF(Z4357="","",IF(MATCH(SUBSTITUTE(SUBSTITUTE(SUBSTITUTE(Z4357,"~","~~"),"*","~*"),"?","~?"),$Z$5:$Z$5004,0)=4353,MAX($AA$4:AA4356)+1,""))</f>
        <v/>
      </c>
    </row>
    <row r="4358" spans="1:27">
      <c r="A4358" s="9"/>
      <c r="Z4358">
        <f>TRIM(A4358&amp;"")</f>
        <v/>
      </c>
      <c r="AA4358">
        <f>IF(Z4358="","",IF(MATCH(SUBSTITUTE(SUBSTITUTE(SUBSTITUTE(Z4358,"~","~~"),"*","~*"),"?","~?"),$Z$5:$Z$5004,0)=4354,MAX($AA$4:AA4357)+1,""))</f>
        <v/>
      </c>
    </row>
    <row r="4359" spans="1:27">
      <c r="A4359" s="9"/>
      <c r="Z4359">
        <f>TRIM(A4359&amp;"")</f>
        <v/>
      </c>
      <c r="AA4359">
        <f>IF(Z4359="","",IF(MATCH(SUBSTITUTE(SUBSTITUTE(SUBSTITUTE(Z4359,"~","~~"),"*","~*"),"?","~?"),$Z$5:$Z$5004,0)=4355,MAX($AA$4:AA4358)+1,""))</f>
        <v/>
      </c>
    </row>
    <row r="4360" spans="1:27">
      <c r="A4360" s="9"/>
      <c r="Z4360">
        <f>TRIM(A4360&amp;"")</f>
        <v/>
      </c>
      <c r="AA4360">
        <f>IF(Z4360="","",IF(MATCH(SUBSTITUTE(SUBSTITUTE(SUBSTITUTE(Z4360,"~","~~"),"*","~*"),"?","~?"),$Z$5:$Z$5004,0)=4356,MAX($AA$4:AA4359)+1,""))</f>
        <v/>
      </c>
    </row>
    <row r="4361" spans="1:27">
      <c r="A4361" s="9"/>
      <c r="Z4361">
        <f>TRIM(A4361&amp;"")</f>
        <v/>
      </c>
      <c r="AA4361">
        <f>IF(Z4361="","",IF(MATCH(SUBSTITUTE(SUBSTITUTE(SUBSTITUTE(Z4361,"~","~~"),"*","~*"),"?","~?"),$Z$5:$Z$5004,0)=4357,MAX($AA$4:AA4360)+1,""))</f>
        <v/>
      </c>
    </row>
    <row r="4362" spans="1:27">
      <c r="A4362" s="9"/>
      <c r="Z4362">
        <f>TRIM(A4362&amp;"")</f>
        <v/>
      </c>
      <c r="AA4362">
        <f>IF(Z4362="","",IF(MATCH(SUBSTITUTE(SUBSTITUTE(SUBSTITUTE(Z4362,"~","~~"),"*","~*"),"?","~?"),$Z$5:$Z$5004,0)=4358,MAX($AA$4:AA4361)+1,""))</f>
        <v/>
      </c>
    </row>
    <row r="4363" spans="1:27">
      <c r="A4363" s="9"/>
      <c r="Z4363">
        <f>TRIM(A4363&amp;"")</f>
        <v/>
      </c>
      <c r="AA4363">
        <f>IF(Z4363="","",IF(MATCH(SUBSTITUTE(SUBSTITUTE(SUBSTITUTE(Z4363,"~","~~"),"*","~*"),"?","~?"),$Z$5:$Z$5004,0)=4359,MAX($AA$4:AA4362)+1,""))</f>
        <v/>
      </c>
    </row>
    <row r="4364" spans="1:27">
      <c r="A4364" s="9"/>
      <c r="Z4364">
        <f>TRIM(A4364&amp;"")</f>
        <v/>
      </c>
      <c r="AA4364">
        <f>IF(Z4364="","",IF(MATCH(SUBSTITUTE(SUBSTITUTE(SUBSTITUTE(Z4364,"~","~~"),"*","~*"),"?","~?"),$Z$5:$Z$5004,0)=4360,MAX($AA$4:AA4363)+1,""))</f>
        <v/>
      </c>
    </row>
    <row r="4365" spans="1:27">
      <c r="A4365" s="9"/>
      <c r="Z4365">
        <f>TRIM(A4365&amp;"")</f>
        <v/>
      </c>
      <c r="AA4365">
        <f>IF(Z4365="","",IF(MATCH(SUBSTITUTE(SUBSTITUTE(SUBSTITUTE(Z4365,"~","~~"),"*","~*"),"?","~?"),$Z$5:$Z$5004,0)=4361,MAX($AA$4:AA4364)+1,""))</f>
        <v/>
      </c>
    </row>
    <row r="4366" spans="1:27">
      <c r="A4366" s="9"/>
      <c r="Z4366">
        <f>TRIM(A4366&amp;"")</f>
        <v/>
      </c>
      <c r="AA4366">
        <f>IF(Z4366="","",IF(MATCH(SUBSTITUTE(SUBSTITUTE(SUBSTITUTE(Z4366,"~","~~"),"*","~*"),"?","~?"),$Z$5:$Z$5004,0)=4362,MAX($AA$4:AA4365)+1,""))</f>
        <v/>
      </c>
    </row>
    <row r="4367" spans="1:27">
      <c r="A4367" s="9"/>
      <c r="Z4367">
        <f>TRIM(A4367&amp;"")</f>
        <v/>
      </c>
      <c r="AA4367">
        <f>IF(Z4367="","",IF(MATCH(SUBSTITUTE(SUBSTITUTE(SUBSTITUTE(Z4367,"~","~~"),"*","~*"),"?","~?"),$Z$5:$Z$5004,0)=4363,MAX($AA$4:AA4366)+1,""))</f>
        <v/>
      </c>
    </row>
    <row r="4368" spans="1:27">
      <c r="A4368" s="9"/>
      <c r="Z4368">
        <f>TRIM(A4368&amp;"")</f>
        <v/>
      </c>
      <c r="AA4368">
        <f>IF(Z4368="","",IF(MATCH(SUBSTITUTE(SUBSTITUTE(SUBSTITUTE(Z4368,"~","~~"),"*","~*"),"?","~?"),$Z$5:$Z$5004,0)=4364,MAX($AA$4:AA4367)+1,""))</f>
        <v/>
      </c>
    </row>
    <row r="4369" spans="1:27">
      <c r="A4369" s="9"/>
      <c r="Z4369">
        <f>TRIM(A4369&amp;"")</f>
        <v/>
      </c>
      <c r="AA4369">
        <f>IF(Z4369="","",IF(MATCH(SUBSTITUTE(SUBSTITUTE(SUBSTITUTE(Z4369,"~","~~"),"*","~*"),"?","~?"),$Z$5:$Z$5004,0)=4365,MAX($AA$4:AA4368)+1,""))</f>
        <v/>
      </c>
    </row>
    <row r="4370" spans="1:27">
      <c r="A4370" s="9"/>
      <c r="Z4370">
        <f>TRIM(A4370&amp;"")</f>
        <v/>
      </c>
      <c r="AA4370">
        <f>IF(Z4370="","",IF(MATCH(SUBSTITUTE(SUBSTITUTE(SUBSTITUTE(Z4370,"~","~~"),"*","~*"),"?","~?"),$Z$5:$Z$5004,0)=4366,MAX($AA$4:AA4369)+1,""))</f>
        <v/>
      </c>
    </row>
    <row r="4371" spans="1:27">
      <c r="A4371" s="9"/>
      <c r="Z4371">
        <f>TRIM(A4371&amp;"")</f>
        <v/>
      </c>
      <c r="AA4371">
        <f>IF(Z4371="","",IF(MATCH(SUBSTITUTE(SUBSTITUTE(SUBSTITUTE(Z4371,"~","~~"),"*","~*"),"?","~?"),$Z$5:$Z$5004,0)=4367,MAX($AA$4:AA4370)+1,""))</f>
        <v/>
      </c>
    </row>
    <row r="4372" spans="1:27">
      <c r="A4372" s="9"/>
      <c r="Z4372">
        <f>TRIM(A4372&amp;"")</f>
        <v/>
      </c>
      <c r="AA4372">
        <f>IF(Z4372="","",IF(MATCH(SUBSTITUTE(SUBSTITUTE(SUBSTITUTE(Z4372,"~","~~"),"*","~*"),"?","~?"),$Z$5:$Z$5004,0)=4368,MAX($AA$4:AA4371)+1,""))</f>
        <v/>
      </c>
    </row>
    <row r="4373" spans="1:27">
      <c r="A4373" s="9"/>
      <c r="Z4373">
        <f>TRIM(A4373&amp;"")</f>
        <v/>
      </c>
      <c r="AA4373">
        <f>IF(Z4373="","",IF(MATCH(SUBSTITUTE(SUBSTITUTE(SUBSTITUTE(Z4373,"~","~~"),"*","~*"),"?","~?"),$Z$5:$Z$5004,0)=4369,MAX($AA$4:AA4372)+1,""))</f>
        <v/>
      </c>
    </row>
    <row r="4374" spans="1:27">
      <c r="A4374" s="9"/>
      <c r="Z4374">
        <f>TRIM(A4374&amp;"")</f>
        <v/>
      </c>
      <c r="AA4374">
        <f>IF(Z4374="","",IF(MATCH(SUBSTITUTE(SUBSTITUTE(SUBSTITUTE(Z4374,"~","~~"),"*","~*"),"?","~?"),$Z$5:$Z$5004,0)=4370,MAX($AA$4:AA4373)+1,""))</f>
        <v/>
      </c>
    </row>
    <row r="4375" spans="1:27">
      <c r="A4375" s="9"/>
      <c r="Z4375">
        <f>TRIM(A4375&amp;"")</f>
        <v/>
      </c>
      <c r="AA4375">
        <f>IF(Z4375="","",IF(MATCH(SUBSTITUTE(SUBSTITUTE(SUBSTITUTE(Z4375,"~","~~"),"*","~*"),"?","~?"),$Z$5:$Z$5004,0)=4371,MAX($AA$4:AA4374)+1,""))</f>
        <v/>
      </c>
    </row>
    <row r="4376" spans="1:27">
      <c r="A4376" s="9"/>
      <c r="Z4376">
        <f>TRIM(A4376&amp;"")</f>
        <v/>
      </c>
      <c r="AA4376">
        <f>IF(Z4376="","",IF(MATCH(SUBSTITUTE(SUBSTITUTE(SUBSTITUTE(Z4376,"~","~~"),"*","~*"),"?","~?"),$Z$5:$Z$5004,0)=4372,MAX($AA$4:AA4375)+1,""))</f>
        <v/>
      </c>
    </row>
    <row r="4377" spans="1:27">
      <c r="A4377" s="9"/>
      <c r="Z4377">
        <f>TRIM(A4377&amp;"")</f>
        <v/>
      </c>
      <c r="AA4377">
        <f>IF(Z4377="","",IF(MATCH(SUBSTITUTE(SUBSTITUTE(SUBSTITUTE(Z4377,"~","~~"),"*","~*"),"?","~?"),$Z$5:$Z$5004,0)=4373,MAX($AA$4:AA4376)+1,""))</f>
        <v/>
      </c>
    </row>
    <row r="4378" spans="1:27">
      <c r="A4378" s="9"/>
      <c r="Z4378">
        <f>TRIM(A4378&amp;"")</f>
        <v/>
      </c>
      <c r="AA4378">
        <f>IF(Z4378="","",IF(MATCH(SUBSTITUTE(SUBSTITUTE(SUBSTITUTE(Z4378,"~","~~"),"*","~*"),"?","~?"),$Z$5:$Z$5004,0)=4374,MAX($AA$4:AA4377)+1,""))</f>
        <v/>
      </c>
    </row>
    <row r="4379" spans="1:27">
      <c r="A4379" s="9"/>
      <c r="Z4379">
        <f>TRIM(A4379&amp;"")</f>
        <v/>
      </c>
      <c r="AA4379">
        <f>IF(Z4379="","",IF(MATCH(SUBSTITUTE(SUBSTITUTE(SUBSTITUTE(Z4379,"~","~~"),"*","~*"),"?","~?"),$Z$5:$Z$5004,0)=4375,MAX($AA$4:AA4378)+1,""))</f>
        <v/>
      </c>
    </row>
    <row r="4380" spans="1:27">
      <c r="A4380" s="9"/>
      <c r="Z4380">
        <f>TRIM(A4380&amp;"")</f>
        <v/>
      </c>
      <c r="AA4380">
        <f>IF(Z4380="","",IF(MATCH(SUBSTITUTE(SUBSTITUTE(SUBSTITUTE(Z4380,"~","~~"),"*","~*"),"?","~?"),$Z$5:$Z$5004,0)=4376,MAX($AA$4:AA4379)+1,""))</f>
        <v/>
      </c>
    </row>
    <row r="4381" spans="1:27">
      <c r="A4381" s="9"/>
      <c r="Z4381">
        <f>TRIM(A4381&amp;"")</f>
        <v/>
      </c>
      <c r="AA4381">
        <f>IF(Z4381="","",IF(MATCH(SUBSTITUTE(SUBSTITUTE(SUBSTITUTE(Z4381,"~","~~"),"*","~*"),"?","~?"),$Z$5:$Z$5004,0)=4377,MAX($AA$4:AA4380)+1,""))</f>
        <v/>
      </c>
    </row>
    <row r="4382" spans="1:27">
      <c r="A4382" s="9"/>
      <c r="Z4382">
        <f>TRIM(A4382&amp;"")</f>
        <v/>
      </c>
      <c r="AA4382">
        <f>IF(Z4382="","",IF(MATCH(SUBSTITUTE(SUBSTITUTE(SUBSTITUTE(Z4382,"~","~~"),"*","~*"),"?","~?"),$Z$5:$Z$5004,0)=4378,MAX($AA$4:AA4381)+1,""))</f>
        <v/>
      </c>
    </row>
    <row r="4383" spans="1:27">
      <c r="A4383" s="9"/>
      <c r="Z4383">
        <f>TRIM(A4383&amp;"")</f>
        <v/>
      </c>
      <c r="AA4383">
        <f>IF(Z4383="","",IF(MATCH(SUBSTITUTE(SUBSTITUTE(SUBSTITUTE(Z4383,"~","~~"),"*","~*"),"?","~?"),$Z$5:$Z$5004,0)=4379,MAX($AA$4:AA4382)+1,""))</f>
        <v/>
      </c>
    </row>
    <row r="4384" spans="1:27">
      <c r="A4384" s="9"/>
      <c r="Z4384">
        <f>TRIM(A4384&amp;"")</f>
        <v/>
      </c>
      <c r="AA4384">
        <f>IF(Z4384="","",IF(MATCH(SUBSTITUTE(SUBSTITUTE(SUBSTITUTE(Z4384,"~","~~"),"*","~*"),"?","~?"),$Z$5:$Z$5004,0)=4380,MAX($AA$4:AA4383)+1,""))</f>
        <v/>
      </c>
    </row>
    <row r="4385" spans="1:27">
      <c r="A4385" s="9"/>
      <c r="Z4385">
        <f>TRIM(A4385&amp;"")</f>
        <v/>
      </c>
      <c r="AA4385">
        <f>IF(Z4385="","",IF(MATCH(SUBSTITUTE(SUBSTITUTE(SUBSTITUTE(Z4385,"~","~~"),"*","~*"),"?","~?"),$Z$5:$Z$5004,0)=4381,MAX($AA$4:AA4384)+1,""))</f>
        <v/>
      </c>
    </row>
    <row r="4386" spans="1:27">
      <c r="A4386" s="9"/>
      <c r="Z4386">
        <f>TRIM(A4386&amp;"")</f>
        <v/>
      </c>
      <c r="AA4386">
        <f>IF(Z4386="","",IF(MATCH(SUBSTITUTE(SUBSTITUTE(SUBSTITUTE(Z4386,"~","~~"),"*","~*"),"?","~?"),$Z$5:$Z$5004,0)=4382,MAX($AA$4:AA4385)+1,""))</f>
        <v/>
      </c>
    </row>
    <row r="4387" spans="1:27">
      <c r="A4387" s="9"/>
      <c r="Z4387">
        <f>TRIM(A4387&amp;"")</f>
        <v/>
      </c>
      <c r="AA4387">
        <f>IF(Z4387="","",IF(MATCH(SUBSTITUTE(SUBSTITUTE(SUBSTITUTE(Z4387,"~","~~"),"*","~*"),"?","~?"),$Z$5:$Z$5004,0)=4383,MAX($AA$4:AA4386)+1,""))</f>
        <v/>
      </c>
    </row>
    <row r="4388" spans="1:27">
      <c r="A4388" s="9"/>
      <c r="Z4388">
        <f>TRIM(A4388&amp;"")</f>
        <v/>
      </c>
      <c r="AA4388">
        <f>IF(Z4388="","",IF(MATCH(SUBSTITUTE(SUBSTITUTE(SUBSTITUTE(Z4388,"~","~~"),"*","~*"),"?","~?"),$Z$5:$Z$5004,0)=4384,MAX($AA$4:AA4387)+1,""))</f>
        <v/>
      </c>
    </row>
    <row r="4389" spans="1:27">
      <c r="A4389" s="9"/>
      <c r="Z4389">
        <f>TRIM(A4389&amp;"")</f>
        <v/>
      </c>
      <c r="AA4389">
        <f>IF(Z4389="","",IF(MATCH(SUBSTITUTE(SUBSTITUTE(SUBSTITUTE(Z4389,"~","~~"),"*","~*"),"?","~?"),$Z$5:$Z$5004,0)=4385,MAX($AA$4:AA4388)+1,""))</f>
        <v/>
      </c>
    </row>
    <row r="4390" spans="1:27">
      <c r="A4390" s="9"/>
      <c r="Z4390">
        <f>TRIM(A4390&amp;"")</f>
        <v/>
      </c>
      <c r="AA4390">
        <f>IF(Z4390="","",IF(MATCH(SUBSTITUTE(SUBSTITUTE(SUBSTITUTE(Z4390,"~","~~"),"*","~*"),"?","~?"),$Z$5:$Z$5004,0)=4386,MAX($AA$4:AA4389)+1,""))</f>
        <v/>
      </c>
    </row>
    <row r="4391" spans="1:27">
      <c r="A4391" s="9"/>
      <c r="Z4391">
        <f>TRIM(A4391&amp;"")</f>
        <v/>
      </c>
      <c r="AA4391">
        <f>IF(Z4391="","",IF(MATCH(SUBSTITUTE(SUBSTITUTE(SUBSTITUTE(Z4391,"~","~~"),"*","~*"),"?","~?"),$Z$5:$Z$5004,0)=4387,MAX($AA$4:AA4390)+1,""))</f>
        <v/>
      </c>
    </row>
    <row r="4392" spans="1:27">
      <c r="A4392" s="9"/>
      <c r="Z4392">
        <f>TRIM(A4392&amp;"")</f>
        <v/>
      </c>
      <c r="AA4392">
        <f>IF(Z4392="","",IF(MATCH(SUBSTITUTE(SUBSTITUTE(SUBSTITUTE(Z4392,"~","~~"),"*","~*"),"?","~?"),$Z$5:$Z$5004,0)=4388,MAX($AA$4:AA4391)+1,""))</f>
        <v/>
      </c>
    </row>
    <row r="4393" spans="1:27">
      <c r="A4393" s="9"/>
      <c r="Z4393">
        <f>TRIM(A4393&amp;"")</f>
        <v/>
      </c>
      <c r="AA4393">
        <f>IF(Z4393="","",IF(MATCH(SUBSTITUTE(SUBSTITUTE(SUBSTITUTE(Z4393,"~","~~"),"*","~*"),"?","~?"),$Z$5:$Z$5004,0)=4389,MAX($AA$4:AA4392)+1,""))</f>
        <v/>
      </c>
    </row>
    <row r="4394" spans="1:27">
      <c r="A4394" s="9"/>
      <c r="Z4394">
        <f>TRIM(A4394&amp;"")</f>
        <v/>
      </c>
      <c r="AA4394">
        <f>IF(Z4394="","",IF(MATCH(SUBSTITUTE(SUBSTITUTE(SUBSTITUTE(Z4394,"~","~~"),"*","~*"),"?","~?"),$Z$5:$Z$5004,0)=4390,MAX($AA$4:AA4393)+1,""))</f>
        <v/>
      </c>
    </row>
    <row r="4395" spans="1:27">
      <c r="A4395" s="9"/>
      <c r="Z4395">
        <f>TRIM(A4395&amp;"")</f>
        <v/>
      </c>
      <c r="AA4395">
        <f>IF(Z4395="","",IF(MATCH(SUBSTITUTE(SUBSTITUTE(SUBSTITUTE(Z4395,"~","~~"),"*","~*"),"?","~?"),$Z$5:$Z$5004,0)=4391,MAX($AA$4:AA4394)+1,""))</f>
        <v/>
      </c>
    </row>
    <row r="4396" spans="1:27">
      <c r="A4396" s="9"/>
      <c r="Z4396">
        <f>TRIM(A4396&amp;"")</f>
        <v/>
      </c>
      <c r="AA4396">
        <f>IF(Z4396="","",IF(MATCH(SUBSTITUTE(SUBSTITUTE(SUBSTITUTE(Z4396,"~","~~"),"*","~*"),"?","~?"),$Z$5:$Z$5004,0)=4392,MAX($AA$4:AA4395)+1,""))</f>
        <v/>
      </c>
    </row>
    <row r="4397" spans="1:27">
      <c r="A4397" s="9"/>
      <c r="Z4397">
        <f>TRIM(A4397&amp;"")</f>
        <v/>
      </c>
      <c r="AA4397">
        <f>IF(Z4397="","",IF(MATCH(SUBSTITUTE(SUBSTITUTE(SUBSTITUTE(Z4397,"~","~~"),"*","~*"),"?","~?"),$Z$5:$Z$5004,0)=4393,MAX($AA$4:AA4396)+1,""))</f>
        <v/>
      </c>
    </row>
    <row r="4398" spans="1:27">
      <c r="A4398" s="9"/>
      <c r="Z4398">
        <f>TRIM(A4398&amp;"")</f>
        <v/>
      </c>
      <c r="AA4398">
        <f>IF(Z4398="","",IF(MATCH(SUBSTITUTE(SUBSTITUTE(SUBSTITUTE(Z4398,"~","~~"),"*","~*"),"?","~?"),$Z$5:$Z$5004,0)=4394,MAX($AA$4:AA4397)+1,""))</f>
        <v/>
      </c>
    </row>
    <row r="4399" spans="1:27">
      <c r="A4399" s="9"/>
      <c r="Z4399">
        <f>TRIM(A4399&amp;"")</f>
        <v/>
      </c>
      <c r="AA4399">
        <f>IF(Z4399="","",IF(MATCH(SUBSTITUTE(SUBSTITUTE(SUBSTITUTE(Z4399,"~","~~"),"*","~*"),"?","~?"),$Z$5:$Z$5004,0)=4395,MAX($AA$4:AA4398)+1,""))</f>
        <v/>
      </c>
    </row>
    <row r="4400" spans="1:27">
      <c r="A4400" s="9"/>
      <c r="Z4400">
        <f>TRIM(A4400&amp;"")</f>
        <v/>
      </c>
      <c r="AA4400">
        <f>IF(Z4400="","",IF(MATCH(SUBSTITUTE(SUBSTITUTE(SUBSTITUTE(Z4400,"~","~~"),"*","~*"),"?","~?"),$Z$5:$Z$5004,0)=4396,MAX($AA$4:AA4399)+1,""))</f>
        <v/>
      </c>
    </row>
    <row r="4401" spans="1:27">
      <c r="A4401" s="9"/>
      <c r="Z4401">
        <f>TRIM(A4401&amp;"")</f>
        <v/>
      </c>
      <c r="AA4401">
        <f>IF(Z4401="","",IF(MATCH(SUBSTITUTE(SUBSTITUTE(SUBSTITUTE(Z4401,"~","~~"),"*","~*"),"?","~?"),$Z$5:$Z$5004,0)=4397,MAX($AA$4:AA4400)+1,""))</f>
        <v/>
      </c>
    </row>
    <row r="4402" spans="1:27">
      <c r="A4402" s="9"/>
      <c r="Z4402">
        <f>TRIM(A4402&amp;"")</f>
        <v/>
      </c>
      <c r="AA4402">
        <f>IF(Z4402="","",IF(MATCH(SUBSTITUTE(SUBSTITUTE(SUBSTITUTE(Z4402,"~","~~"),"*","~*"),"?","~?"),$Z$5:$Z$5004,0)=4398,MAX($AA$4:AA4401)+1,""))</f>
        <v/>
      </c>
    </row>
    <row r="4403" spans="1:27">
      <c r="A4403" s="9"/>
      <c r="Z4403">
        <f>TRIM(A4403&amp;"")</f>
        <v/>
      </c>
      <c r="AA4403">
        <f>IF(Z4403="","",IF(MATCH(SUBSTITUTE(SUBSTITUTE(SUBSTITUTE(Z4403,"~","~~"),"*","~*"),"?","~?"),$Z$5:$Z$5004,0)=4399,MAX($AA$4:AA4402)+1,""))</f>
        <v/>
      </c>
    </row>
    <row r="4404" spans="1:27">
      <c r="A4404" s="9"/>
      <c r="Z4404">
        <f>TRIM(A4404&amp;"")</f>
        <v/>
      </c>
      <c r="AA4404">
        <f>IF(Z4404="","",IF(MATCH(SUBSTITUTE(SUBSTITUTE(SUBSTITUTE(Z4404,"~","~~"),"*","~*"),"?","~?"),$Z$5:$Z$5004,0)=4400,MAX($AA$4:AA4403)+1,""))</f>
        <v/>
      </c>
    </row>
    <row r="4405" spans="1:27">
      <c r="A4405" s="9"/>
      <c r="Z4405">
        <f>TRIM(A4405&amp;"")</f>
        <v/>
      </c>
      <c r="AA4405">
        <f>IF(Z4405="","",IF(MATCH(SUBSTITUTE(SUBSTITUTE(SUBSTITUTE(Z4405,"~","~~"),"*","~*"),"?","~?"),$Z$5:$Z$5004,0)=4401,MAX($AA$4:AA4404)+1,""))</f>
        <v/>
      </c>
    </row>
    <row r="4406" spans="1:27">
      <c r="A4406" s="9"/>
      <c r="Z4406">
        <f>TRIM(A4406&amp;"")</f>
        <v/>
      </c>
      <c r="AA4406">
        <f>IF(Z4406="","",IF(MATCH(SUBSTITUTE(SUBSTITUTE(SUBSTITUTE(Z4406,"~","~~"),"*","~*"),"?","~?"),$Z$5:$Z$5004,0)=4402,MAX($AA$4:AA4405)+1,""))</f>
        <v/>
      </c>
    </row>
    <row r="4407" spans="1:27">
      <c r="A4407" s="9"/>
      <c r="Z4407">
        <f>TRIM(A4407&amp;"")</f>
        <v/>
      </c>
      <c r="AA4407">
        <f>IF(Z4407="","",IF(MATCH(SUBSTITUTE(SUBSTITUTE(SUBSTITUTE(Z4407,"~","~~"),"*","~*"),"?","~?"),$Z$5:$Z$5004,0)=4403,MAX($AA$4:AA4406)+1,""))</f>
        <v/>
      </c>
    </row>
    <row r="4408" spans="1:27">
      <c r="A4408" s="9"/>
      <c r="Z4408">
        <f>TRIM(A4408&amp;"")</f>
        <v/>
      </c>
      <c r="AA4408">
        <f>IF(Z4408="","",IF(MATCH(SUBSTITUTE(SUBSTITUTE(SUBSTITUTE(Z4408,"~","~~"),"*","~*"),"?","~?"),$Z$5:$Z$5004,0)=4404,MAX($AA$4:AA4407)+1,""))</f>
        <v/>
      </c>
    </row>
    <row r="4409" spans="1:27">
      <c r="A4409" s="9"/>
      <c r="Z4409">
        <f>TRIM(A4409&amp;"")</f>
        <v/>
      </c>
      <c r="AA4409">
        <f>IF(Z4409="","",IF(MATCH(SUBSTITUTE(SUBSTITUTE(SUBSTITUTE(Z4409,"~","~~"),"*","~*"),"?","~?"),$Z$5:$Z$5004,0)=4405,MAX($AA$4:AA4408)+1,""))</f>
        <v/>
      </c>
    </row>
    <row r="4410" spans="1:27">
      <c r="A4410" s="9"/>
      <c r="Z4410">
        <f>TRIM(A4410&amp;"")</f>
        <v/>
      </c>
      <c r="AA4410">
        <f>IF(Z4410="","",IF(MATCH(SUBSTITUTE(SUBSTITUTE(SUBSTITUTE(Z4410,"~","~~"),"*","~*"),"?","~?"),$Z$5:$Z$5004,0)=4406,MAX($AA$4:AA4409)+1,""))</f>
        <v/>
      </c>
    </row>
    <row r="4411" spans="1:27">
      <c r="A4411" s="9"/>
      <c r="Z4411">
        <f>TRIM(A4411&amp;"")</f>
        <v/>
      </c>
      <c r="AA4411">
        <f>IF(Z4411="","",IF(MATCH(SUBSTITUTE(SUBSTITUTE(SUBSTITUTE(Z4411,"~","~~"),"*","~*"),"?","~?"),$Z$5:$Z$5004,0)=4407,MAX($AA$4:AA4410)+1,""))</f>
        <v/>
      </c>
    </row>
    <row r="4412" spans="1:27">
      <c r="A4412" s="9"/>
      <c r="Z4412">
        <f>TRIM(A4412&amp;"")</f>
        <v/>
      </c>
      <c r="AA4412">
        <f>IF(Z4412="","",IF(MATCH(SUBSTITUTE(SUBSTITUTE(SUBSTITUTE(Z4412,"~","~~"),"*","~*"),"?","~?"),$Z$5:$Z$5004,0)=4408,MAX($AA$4:AA4411)+1,""))</f>
        <v/>
      </c>
    </row>
    <row r="4413" spans="1:27">
      <c r="A4413" s="9"/>
      <c r="Z4413">
        <f>TRIM(A4413&amp;"")</f>
        <v/>
      </c>
      <c r="AA4413">
        <f>IF(Z4413="","",IF(MATCH(SUBSTITUTE(SUBSTITUTE(SUBSTITUTE(Z4413,"~","~~"),"*","~*"),"?","~?"),$Z$5:$Z$5004,0)=4409,MAX($AA$4:AA4412)+1,""))</f>
        <v/>
      </c>
    </row>
    <row r="4414" spans="1:27">
      <c r="A4414" s="9"/>
      <c r="Z4414">
        <f>TRIM(A4414&amp;"")</f>
        <v/>
      </c>
      <c r="AA4414">
        <f>IF(Z4414="","",IF(MATCH(SUBSTITUTE(SUBSTITUTE(SUBSTITUTE(Z4414,"~","~~"),"*","~*"),"?","~?"),$Z$5:$Z$5004,0)=4410,MAX($AA$4:AA4413)+1,""))</f>
        <v/>
      </c>
    </row>
    <row r="4415" spans="1:27">
      <c r="A4415" s="9"/>
      <c r="Z4415">
        <f>TRIM(A4415&amp;"")</f>
        <v/>
      </c>
      <c r="AA4415">
        <f>IF(Z4415="","",IF(MATCH(SUBSTITUTE(SUBSTITUTE(SUBSTITUTE(Z4415,"~","~~"),"*","~*"),"?","~?"),$Z$5:$Z$5004,0)=4411,MAX($AA$4:AA4414)+1,""))</f>
        <v/>
      </c>
    </row>
    <row r="4416" spans="1:27">
      <c r="A4416" s="9"/>
      <c r="Z4416">
        <f>TRIM(A4416&amp;"")</f>
        <v/>
      </c>
      <c r="AA4416">
        <f>IF(Z4416="","",IF(MATCH(SUBSTITUTE(SUBSTITUTE(SUBSTITUTE(Z4416,"~","~~"),"*","~*"),"?","~?"),$Z$5:$Z$5004,0)=4412,MAX($AA$4:AA4415)+1,""))</f>
        <v/>
      </c>
    </row>
    <row r="4417" spans="1:27">
      <c r="A4417" s="9"/>
      <c r="Z4417">
        <f>TRIM(A4417&amp;"")</f>
        <v/>
      </c>
      <c r="AA4417">
        <f>IF(Z4417="","",IF(MATCH(SUBSTITUTE(SUBSTITUTE(SUBSTITUTE(Z4417,"~","~~"),"*","~*"),"?","~?"),$Z$5:$Z$5004,0)=4413,MAX($AA$4:AA4416)+1,""))</f>
        <v/>
      </c>
    </row>
    <row r="4418" spans="1:27">
      <c r="A4418" s="9"/>
      <c r="Z4418">
        <f>TRIM(A4418&amp;"")</f>
        <v/>
      </c>
      <c r="AA4418">
        <f>IF(Z4418="","",IF(MATCH(SUBSTITUTE(SUBSTITUTE(SUBSTITUTE(Z4418,"~","~~"),"*","~*"),"?","~?"),$Z$5:$Z$5004,0)=4414,MAX($AA$4:AA4417)+1,""))</f>
        <v/>
      </c>
    </row>
    <row r="4419" spans="1:27">
      <c r="A4419" s="9"/>
      <c r="Z4419">
        <f>TRIM(A4419&amp;"")</f>
        <v/>
      </c>
      <c r="AA4419">
        <f>IF(Z4419="","",IF(MATCH(SUBSTITUTE(SUBSTITUTE(SUBSTITUTE(Z4419,"~","~~"),"*","~*"),"?","~?"),$Z$5:$Z$5004,0)=4415,MAX($AA$4:AA4418)+1,""))</f>
        <v/>
      </c>
    </row>
    <row r="4420" spans="1:27">
      <c r="A4420" s="9"/>
      <c r="Z4420">
        <f>TRIM(A4420&amp;"")</f>
        <v/>
      </c>
      <c r="AA4420">
        <f>IF(Z4420="","",IF(MATCH(SUBSTITUTE(SUBSTITUTE(SUBSTITUTE(Z4420,"~","~~"),"*","~*"),"?","~?"),$Z$5:$Z$5004,0)=4416,MAX($AA$4:AA4419)+1,""))</f>
        <v/>
      </c>
    </row>
    <row r="4421" spans="1:27">
      <c r="A4421" s="9"/>
      <c r="Z4421">
        <f>TRIM(A4421&amp;"")</f>
        <v/>
      </c>
      <c r="AA4421">
        <f>IF(Z4421="","",IF(MATCH(SUBSTITUTE(SUBSTITUTE(SUBSTITUTE(Z4421,"~","~~"),"*","~*"),"?","~?"),$Z$5:$Z$5004,0)=4417,MAX($AA$4:AA4420)+1,""))</f>
        <v/>
      </c>
    </row>
    <row r="4422" spans="1:27">
      <c r="A4422" s="9"/>
      <c r="Z4422">
        <f>TRIM(A4422&amp;"")</f>
        <v/>
      </c>
      <c r="AA4422">
        <f>IF(Z4422="","",IF(MATCH(SUBSTITUTE(SUBSTITUTE(SUBSTITUTE(Z4422,"~","~~"),"*","~*"),"?","~?"),$Z$5:$Z$5004,0)=4418,MAX($AA$4:AA4421)+1,""))</f>
        <v/>
      </c>
    </row>
    <row r="4423" spans="1:27">
      <c r="A4423" s="9"/>
      <c r="Z4423">
        <f>TRIM(A4423&amp;"")</f>
        <v/>
      </c>
      <c r="AA4423">
        <f>IF(Z4423="","",IF(MATCH(SUBSTITUTE(SUBSTITUTE(SUBSTITUTE(Z4423,"~","~~"),"*","~*"),"?","~?"),$Z$5:$Z$5004,0)=4419,MAX($AA$4:AA4422)+1,""))</f>
        <v/>
      </c>
    </row>
    <row r="4424" spans="1:27">
      <c r="A4424" s="9"/>
      <c r="Z4424">
        <f>TRIM(A4424&amp;"")</f>
        <v/>
      </c>
      <c r="AA4424">
        <f>IF(Z4424="","",IF(MATCH(SUBSTITUTE(SUBSTITUTE(SUBSTITUTE(Z4424,"~","~~"),"*","~*"),"?","~?"),$Z$5:$Z$5004,0)=4420,MAX($AA$4:AA4423)+1,""))</f>
        <v/>
      </c>
    </row>
    <row r="4425" spans="1:27">
      <c r="A4425" s="9"/>
      <c r="Z4425">
        <f>TRIM(A4425&amp;"")</f>
        <v/>
      </c>
      <c r="AA4425">
        <f>IF(Z4425="","",IF(MATCH(SUBSTITUTE(SUBSTITUTE(SUBSTITUTE(Z4425,"~","~~"),"*","~*"),"?","~?"),$Z$5:$Z$5004,0)=4421,MAX($AA$4:AA4424)+1,""))</f>
        <v/>
      </c>
    </row>
    <row r="4426" spans="1:27">
      <c r="A4426" s="9"/>
      <c r="Z4426">
        <f>TRIM(A4426&amp;"")</f>
        <v/>
      </c>
      <c r="AA4426">
        <f>IF(Z4426="","",IF(MATCH(SUBSTITUTE(SUBSTITUTE(SUBSTITUTE(Z4426,"~","~~"),"*","~*"),"?","~?"),$Z$5:$Z$5004,0)=4422,MAX($AA$4:AA4425)+1,""))</f>
        <v/>
      </c>
    </row>
    <row r="4427" spans="1:27">
      <c r="A4427" s="9"/>
      <c r="Z4427">
        <f>TRIM(A4427&amp;"")</f>
        <v/>
      </c>
      <c r="AA4427">
        <f>IF(Z4427="","",IF(MATCH(SUBSTITUTE(SUBSTITUTE(SUBSTITUTE(Z4427,"~","~~"),"*","~*"),"?","~?"),$Z$5:$Z$5004,0)=4423,MAX($AA$4:AA4426)+1,""))</f>
        <v/>
      </c>
    </row>
    <row r="4428" spans="1:27">
      <c r="A4428" s="9"/>
      <c r="Z4428">
        <f>TRIM(A4428&amp;"")</f>
        <v/>
      </c>
      <c r="AA4428">
        <f>IF(Z4428="","",IF(MATCH(SUBSTITUTE(SUBSTITUTE(SUBSTITUTE(Z4428,"~","~~"),"*","~*"),"?","~?"),$Z$5:$Z$5004,0)=4424,MAX($AA$4:AA4427)+1,""))</f>
        <v/>
      </c>
    </row>
    <row r="4429" spans="1:27">
      <c r="A4429" s="9"/>
      <c r="Z4429">
        <f>TRIM(A4429&amp;"")</f>
        <v/>
      </c>
      <c r="AA4429">
        <f>IF(Z4429="","",IF(MATCH(SUBSTITUTE(SUBSTITUTE(SUBSTITUTE(Z4429,"~","~~"),"*","~*"),"?","~?"),$Z$5:$Z$5004,0)=4425,MAX($AA$4:AA4428)+1,""))</f>
        <v/>
      </c>
    </row>
    <row r="4430" spans="1:27">
      <c r="A4430" s="9"/>
      <c r="Z4430">
        <f>TRIM(A4430&amp;"")</f>
        <v/>
      </c>
      <c r="AA4430">
        <f>IF(Z4430="","",IF(MATCH(SUBSTITUTE(SUBSTITUTE(SUBSTITUTE(Z4430,"~","~~"),"*","~*"),"?","~?"),$Z$5:$Z$5004,0)=4426,MAX($AA$4:AA4429)+1,""))</f>
        <v/>
      </c>
    </row>
    <row r="4431" spans="1:27">
      <c r="A4431" s="9"/>
      <c r="Z4431">
        <f>TRIM(A4431&amp;"")</f>
        <v/>
      </c>
      <c r="AA4431">
        <f>IF(Z4431="","",IF(MATCH(SUBSTITUTE(SUBSTITUTE(SUBSTITUTE(Z4431,"~","~~"),"*","~*"),"?","~?"),$Z$5:$Z$5004,0)=4427,MAX($AA$4:AA4430)+1,""))</f>
        <v/>
      </c>
    </row>
    <row r="4432" spans="1:27">
      <c r="A4432" s="9"/>
      <c r="Z4432">
        <f>TRIM(A4432&amp;"")</f>
        <v/>
      </c>
      <c r="AA4432">
        <f>IF(Z4432="","",IF(MATCH(SUBSTITUTE(SUBSTITUTE(SUBSTITUTE(Z4432,"~","~~"),"*","~*"),"?","~?"),$Z$5:$Z$5004,0)=4428,MAX($AA$4:AA4431)+1,""))</f>
        <v/>
      </c>
    </row>
    <row r="4433" spans="1:27">
      <c r="A4433" s="9"/>
      <c r="Z4433">
        <f>TRIM(A4433&amp;"")</f>
        <v/>
      </c>
      <c r="AA4433">
        <f>IF(Z4433="","",IF(MATCH(SUBSTITUTE(SUBSTITUTE(SUBSTITUTE(Z4433,"~","~~"),"*","~*"),"?","~?"),$Z$5:$Z$5004,0)=4429,MAX($AA$4:AA4432)+1,""))</f>
        <v/>
      </c>
    </row>
    <row r="4434" spans="1:27">
      <c r="A4434" s="9"/>
      <c r="Z4434">
        <f>TRIM(A4434&amp;"")</f>
        <v/>
      </c>
      <c r="AA4434">
        <f>IF(Z4434="","",IF(MATCH(SUBSTITUTE(SUBSTITUTE(SUBSTITUTE(Z4434,"~","~~"),"*","~*"),"?","~?"),$Z$5:$Z$5004,0)=4430,MAX($AA$4:AA4433)+1,""))</f>
        <v/>
      </c>
    </row>
    <row r="4435" spans="1:27">
      <c r="A4435" s="9"/>
      <c r="Z4435">
        <f>TRIM(A4435&amp;"")</f>
        <v/>
      </c>
      <c r="AA4435">
        <f>IF(Z4435="","",IF(MATCH(SUBSTITUTE(SUBSTITUTE(SUBSTITUTE(Z4435,"~","~~"),"*","~*"),"?","~?"),$Z$5:$Z$5004,0)=4431,MAX($AA$4:AA4434)+1,""))</f>
        <v/>
      </c>
    </row>
    <row r="4436" spans="1:27">
      <c r="A4436" s="9"/>
      <c r="Z4436">
        <f>TRIM(A4436&amp;"")</f>
        <v/>
      </c>
      <c r="AA4436">
        <f>IF(Z4436="","",IF(MATCH(SUBSTITUTE(SUBSTITUTE(SUBSTITUTE(Z4436,"~","~~"),"*","~*"),"?","~?"),$Z$5:$Z$5004,0)=4432,MAX($AA$4:AA4435)+1,""))</f>
        <v/>
      </c>
    </row>
    <row r="4437" spans="1:27">
      <c r="A4437" s="9"/>
      <c r="Z4437">
        <f>TRIM(A4437&amp;"")</f>
        <v/>
      </c>
      <c r="AA4437">
        <f>IF(Z4437="","",IF(MATCH(SUBSTITUTE(SUBSTITUTE(SUBSTITUTE(Z4437,"~","~~"),"*","~*"),"?","~?"),$Z$5:$Z$5004,0)=4433,MAX($AA$4:AA4436)+1,""))</f>
        <v/>
      </c>
    </row>
    <row r="4438" spans="1:27">
      <c r="A4438" s="9"/>
      <c r="Z4438">
        <f>TRIM(A4438&amp;"")</f>
        <v/>
      </c>
      <c r="AA4438">
        <f>IF(Z4438="","",IF(MATCH(SUBSTITUTE(SUBSTITUTE(SUBSTITUTE(Z4438,"~","~~"),"*","~*"),"?","~?"),$Z$5:$Z$5004,0)=4434,MAX($AA$4:AA4437)+1,""))</f>
        <v/>
      </c>
    </row>
    <row r="4439" spans="1:27">
      <c r="A4439" s="9"/>
      <c r="Z4439">
        <f>TRIM(A4439&amp;"")</f>
        <v/>
      </c>
      <c r="AA4439">
        <f>IF(Z4439="","",IF(MATCH(SUBSTITUTE(SUBSTITUTE(SUBSTITUTE(Z4439,"~","~~"),"*","~*"),"?","~?"),$Z$5:$Z$5004,0)=4435,MAX($AA$4:AA4438)+1,""))</f>
        <v/>
      </c>
    </row>
    <row r="4440" spans="1:27">
      <c r="A4440" s="9"/>
      <c r="Z4440">
        <f>TRIM(A4440&amp;"")</f>
        <v/>
      </c>
      <c r="AA4440">
        <f>IF(Z4440="","",IF(MATCH(SUBSTITUTE(SUBSTITUTE(SUBSTITUTE(Z4440,"~","~~"),"*","~*"),"?","~?"),$Z$5:$Z$5004,0)=4436,MAX($AA$4:AA4439)+1,""))</f>
        <v/>
      </c>
    </row>
    <row r="4441" spans="1:27">
      <c r="A4441" s="9"/>
      <c r="Z4441">
        <f>TRIM(A4441&amp;"")</f>
        <v/>
      </c>
      <c r="AA4441">
        <f>IF(Z4441="","",IF(MATCH(SUBSTITUTE(SUBSTITUTE(SUBSTITUTE(Z4441,"~","~~"),"*","~*"),"?","~?"),$Z$5:$Z$5004,0)=4437,MAX($AA$4:AA4440)+1,""))</f>
        <v/>
      </c>
    </row>
    <row r="4442" spans="1:27">
      <c r="A4442" s="9"/>
      <c r="Z4442">
        <f>TRIM(A4442&amp;"")</f>
        <v/>
      </c>
      <c r="AA4442">
        <f>IF(Z4442="","",IF(MATCH(SUBSTITUTE(SUBSTITUTE(SUBSTITUTE(Z4442,"~","~~"),"*","~*"),"?","~?"),$Z$5:$Z$5004,0)=4438,MAX($AA$4:AA4441)+1,""))</f>
        <v/>
      </c>
    </row>
    <row r="4443" spans="1:27">
      <c r="A4443" s="9"/>
      <c r="Z4443">
        <f>TRIM(A4443&amp;"")</f>
        <v/>
      </c>
      <c r="AA4443">
        <f>IF(Z4443="","",IF(MATCH(SUBSTITUTE(SUBSTITUTE(SUBSTITUTE(Z4443,"~","~~"),"*","~*"),"?","~?"),$Z$5:$Z$5004,0)=4439,MAX($AA$4:AA4442)+1,""))</f>
        <v/>
      </c>
    </row>
    <row r="4444" spans="1:27">
      <c r="A4444" s="9"/>
      <c r="Z4444">
        <f>TRIM(A4444&amp;"")</f>
        <v/>
      </c>
      <c r="AA4444">
        <f>IF(Z4444="","",IF(MATCH(SUBSTITUTE(SUBSTITUTE(SUBSTITUTE(Z4444,"~","~~"),"*","~*"),"?","~?"),$Z$5:$Z$5004,0)=4440,MAX($AA$4:AA4443)+1,""))</f>
        <v/>
      </c>
    </row>
    <row r="4445" spans="1:27">
      <c r="A4445" s="9"/>
      <c r="Z4445">
        <f>TRIM(A4445&amp;"")</f>
        <v/>
      </c>
      <c r="AA4445">
        <f>IF(Z4445="","",IF(MATCH(SUBSTITUTE(SUBSTITUTE(SUBSTITUTE(Z4445,"~","~~"),"*","~*"),"?","~?"),$Z$5:$Z$5004,0)=4441,MAX($AA$4:AA4444)+1,""))</f>
        <v/>
      </c>
    </row>
    <row r="4446" spans="1:27">
      <c r="A4446" s="9"/>
      <c r="Z4446">
        <f>TRIM(A4446&amp;"")</f>
        <v/>
      </c>
      <c r="AA4446">
        <f>IF(Z4446="","",IF(MATCH(SUBSTITUTE(SUBSTITUTE(SUBSTITUTE(Z4446,"~","~~"),"*","~*"),"?","~?"),$Z$5:$Z$5004,0)=4442,MAX($AA$4:AA4445)+1,""))</f>
        <v/>
      </c>
    </row>
    <row r="4447" spans="1:27">
      <c r="A4447" s="9"/>
      <c r="Z4447">
        <f>TRIM(A4447&amp;"")</f>
        <v/>
      </c>
      <c r="AA4447">
        <f>IF(Z4447="","",IF(MATCH(SUBSTITUTE(SUBSTITUTE(SUBSTITUTE(Z4447,"~","~~"),"*","~*"),"?","~?"),$Z$5:$Z$5004,0)=4443,MAX($AA$4:AA4446)+1,""))</f>
        <v/>
      </c>
    </row>
    <row r="4448" spans="1:27">
      <c r="A4448" s="9"/>
      <c r="Z4448">
        <f>TRIM(A4448&amp;"")</f>
        <v/>
      </c>
      <c r="AA4448">
        <f>IF(Z4448="","",IF(MATCH(SUBSTITUTE(SUBSTITUTE(SUBSTITUTE(Z4448,"~","~~"),"*","~*"),"?","~?"),$Z$5:$Z$5004,0)=4444,MAX($AA$4:AA4447)+1,""))</f>
        <v/>
      </c>
    </row>
    <row r="4449" spans="1:27">
      <c r="A4449" s="9"/>
      <c r="Z4449">
        <f>TRIM(A4449&amp;"")</f>
        <v/>
      </c>
      <c r="AA4449">
        <f>IF(Z4449="","",IF(MATCH(SUBSTITUTE(SUBSTITUTE(SUBSTITUTE(Z4449,"~","~~"),"*","~*"),"?","~?"),$Z$5:$Z$5004,0)=4445,MAX($AA$4:AA4448)+1,""))</f>
        <v/>
      </c>
    </row>
    <row r="4450" spans="1:27">
      <c r="A4450" s="9"/>
      <c r="Z4450">
        <f>TRIM(A4450&amp;"")</f>
        <v/>
      </c>
      <c r="AA4450">
        <f>IF(Z4450="","",IF(MATCH(SUBSTITUTE(SUBSTITUTE(SUBSTITUTE(Z4450,"~","~~"),"*","~*"),"?","~?"),$Z$5:$Z$5004,0)=4446,MAX($AA$4:AA4449)+1,""))</f>
        <v/>
      </c>
    </row>
    <row r="4451" spans="1:27">
      <c r="A4451" s="9"/>
      <c r="Z4451">
        <f>TRIM(A4451&amp;"")</f>
        <v/>
      </c>
      <c r="AA4451">
        <f>IF(Z4451="","",IF(MATCH(SUBSTITUTE(SUBSTITUTE(SUBSTITUTE(Z4451,"~","~~"),"*","~*"),"?","~?"),$Z$5:$Z$5004,0)=4447,MAX($AA$4:AA4450)+1,""))</f>
        <v/>
      </c>
    </row>
    <row r="4452" spans="1:27">
      <c r="A4452" s="9"/>
      <c r="Z4452">
        <f>TRIM(A4452&amp;"")</f>
        <v/>
      </c>
      <c r="AA4452">
        <f>IF(Z4452="","",IF(MATCH(SUBSTITUTE(SUBSTITUTE(SUBSTITUTE(Z4452,"~","~~"),"*","~*"),"?","~?"),$Z$5:$Z$5004,0)=4448,MAX($AA$4:AA4451)+1,""))</f>
        <v/>
      </c>
    </row>
    <row r="4453" spans="1:27">
      <c r="A4453" s="9"/>
      <c r="Z4453">
        <f>TRIM(A4453&amp;"")</f>
        <v/>
      </c>
      <c r="AA4453">
        <f>IF(Z4453="","",IF(MATCH(SUBSTITUTE(SUBSTITUTE(SUBSTITUTE(Z4453,"~","~~"),"*","~*"),"?","~?"),$Z$5:$Z$5004,0)=4449,MAX($AA$4:AA4452)+1,""))</f>
        <v/>
      </c>
    </row>
    <row r="4454" spans="1:27">
      <c r="A4454" s="9"/>
      <c r="Z4454">
        <f>TRIM(A4454&amp;"")</f>
        <v/>
      </c>
      <c r="AA4454">
        <f>IF(Z4454="","",IF(MATCH(SUBSTITUTE(SUBSTITUTE(SUBSTITUTE(Z4454,"~","~~"),"*","~*"),"?","~?"),$Z$5:$Z$5004,0)=4450,MAX($AA$4:AA4453)+1,""))</f>
        <v/>
      </c>
    </row>
    <row r="4455" spans="1:27">
      <c r="A4455" s="9"/>
      <c r="Z4455">
        <f>TRIM(A4455&amp;"")</f>
        <v/>
      </c>
      <c r="AA4455">
        <f>IF(Z4455="","",IF(MATCH(SUBSTITUTE(SUBSTITUTE(SUBSTITUTE(Z4455,"~","~~"),"*","~*"),"?","~?"),$Z$5:$Z$5004,0)=4451,MAX($AA$4:AA4454)+1,""))</f>
        <v/>
      </c>
    </row>
    <row r="4456" spans="1:27">
      <c r="A4456" s="9"/>
      <c r="Z4456">
        <f>TRIM(A4456&amp;"")</f>
        <v/>
      </c>
      <c r="AA4456">
        <f>IF(Z4456="","",IF(MATCH(SUBSTITUTE(SUBSTITUTE(SUBSTITUTE(Z4456,"~","~~"),"*","~*"),"?","~?"),$Z$5:$Z$5004,0)=4452,MAX($AA$4:AA4455)+1,""))</f>
        <v/>
      </c>
    </row>
    <row r="4457" spans="1:27">
      <c r="A4457" s="9"/>
      <c r="Z4457">
        <f>TRIM(A4457&amp;"")</f>
        <v/>
      </c>
      <c r="AA4457">
        <f>IF(Z4457="","",IF(MATCH(SUBSTITUTE(SUBSTITUTE(SUBSTITUTE(Z4457,"~","~~"),"*","~*"),"?","~?"),$Z$5:$Z$5004,0)=4453,MAX($AA$4:AA4456)+1,""))</f>
        <v/>
      </c>
    </row>
    <row r="4458" spans="1:27">
      <c r="A4458" s="9"/>
      <c r="Z4458">
        <f>TRIM(A4458&amp;"")</f>
        <v/>
      </c>
      <c r="AA4458">
        <f>IF(Z4458="","",IF(MATCH(SUBSTITUTE(SUBSTITUTE(SUBSTITUTE(Z4458,"~","~~"),"*","~*"),"?","~?"),$Z$5:$Z$5004,0)=4454,MAX($AA$4:AA4457)+1,""))</f>
        <v/>
      </c>
    </row>
    <row r="4459" spans="1:27">
      <c r="A4459" s="9"/>
      <c r="Z4459">
        <f>TRIM(A4459&amp;"")</f>
        <v/>
      </c>
      <c r="AA4459">
        <f>IF(Z4459="","",IF(MATCH(SUBSTITUTE(SUBSTITUTE(SUBSTITUTE(Z4459,"~","~~"),"*","~*"),"?","~?"),$Z$5:$Z$5004,0)=4455,MAX($AA$4:AA4458)+1,""))</f>
        <v/>
      </c>
    </row>
    <row r="4460" spans="1:27">
      <c r="A4460" s="9"/>
      <c r="Z4460">
        <f>TRIM(A4460&amp;"")</f>
        <v/>
      </c>
      <c r="AA4460">
        <f>IF(Z4460="","",IF(MATCH(SUBSTITUTE(SUBSTITUTE(SUBSTITUTE(Z4460,"~","~~"),"*","~*"),"?","~?"),$Z$5:$Z$5004,0)=4456,MAX($AA$4:AA4459)+1,""))</f>
        <v/>
      </c>
    </row>
    <row r="4461" spans="1:27">
      <c r="A4461" s="9"/>
      <c r="Z4461">
        <f>TRIM(A4461&amp;"")</f>
        <v/>
      </c>
      <c r="AA4461">
        <f>IF(Z4461="","",IF(MATCH(SUBSTITUTE(SUBSTITUTE(SUBSTITUTE(Z4461,"~","~~"),"*","~*"),"?","~?"),$Z$5:$Z$5004,0)=4457,MAX($AA$4:AA4460)+1,""))</f>
        <v/>
      </c>
    </row>
    <row r="4462" spans="1:27">
      <c r="A4462" s="9"/>
      <c r="Z4462">
        <f>TRIM(A4462&amp;"")</f>
        <v/>
      </c>
      <c r="AA4462">
        <f>IF(Z4462="","",IF(MATCH(SUBSTITUTE(SUBSTITUTE(SUBSTITUTE(Z4462,"~","~~"),"*","~*"),"?","~?"),$Z$5:$Z$5004,0)=4458,MAX($AA$4:AA4461)+1,""))</f>
        <v/>
      </c>
    </row>
    <row r="4463" spans="1:27">
      <c r="A4463" s="9"/>
      <c r="Z4463">
        <f>TRIM(A4463&amp;"")</f>
        <v/>
      </c>
      <c r="AA4463">
        <f>IF(Z4463="","",IF(MATCH(SUBSTITUTE(SUBSTITUTE(SUBSTITUTE(Z4463,"~","~~"),"*","~*"),"?","~?"),$Z$5:$Z$5004,0)=4459,MAX($AA$4:AA4462)+1,""))</f>
        <v/>
      </c>
    </row>
    <row r="4464" spans="1:27">
      <c r="A4464" s="9"/>
      <c r="Z4464">
        <f>TRIM(A4464&amp;"")</f>
        <v/>
      </c>
      <c r="AA4464">
        <f>IF(Z4464="","",IF(MATCH(SUBSTITUTE(SUBSTITUTE(SUBSTITUTE(Z4464,"~","~~"),"*","~*"),"?","~?"),$Z$5:$Z$5004,0)=4460,MAX($AA$4:AA4463)+1,""))</f>
        <v/>
      </c>
    </row>
    <row r="4465" spans="1:27">
      <c r="A4465" s="9"/>
      <c r="Z4465">
        <f>TRIM(A4465&amp;"")</f>
        <v/>
      </c>
      <c r="AA4465">
        <f>IF(Z4465="","",IF(MATCH(SUBSTITUTE(SUBSTITUTE(SUBSTITUTE(Z4465,"~","~~"),"*","~*"),"?","~?"),$Z$5:$Z$5004,0)=4461,MAX($AA$4:AA4464)+1,""))</f>
        <v/>
      </c>
    </row>
    <row r="4466" spans="1:27">
      <c r="A4466" s="9"/>
      <c r="Z4466">
        <f>TRIM(A4466&amp;"")</f>
        <v/>
      </c>
      <c r="AA4466">
        <f>IF(Z4466="","",IF(MATCH(SUBSTITUTE(SUBSTITUTE(SUBSTITUTE(Z4466,"~","~~"),"*","~*"),"?","~?"),$Z$5:$Z$5004,0)=4462,MAX($AA$4:AA4465)+1,""))</f>
        <v/>
      </c>
    </row>
    <row r="4467" spans="1:27">
      <c r="A4467" s="9"/>
      <c r="Z4467">
        <f>TRIM(A4467&amp;"")</f>
        <v/>
      </c>
      <c r="AA4467">
        <f>IF(Z4467="","",IF(MATCH(SUBSTITUTE(SUBSTITUTE(SUBSTITUTE(Z4467,"~","~~"),"*","~*"),"?","~?"),$Z$5:$Z$5004,0)=4463,MAX($AA$4:AA4466)+1,""))</f>
        <v/>
      </c>
    </row>
    <row r="4468" spans="1:27">
      <c r="A4468" s="9"/>
      <c r="Z4468">
        <f>TRIM(A4468&amp;"")</f>
        <v/>
      </c>
      <c r="AA4468">
        <f>IF(Z4468="","",IF(MATCH(SUBSTITUTE(SUBSTITUTE(SUBSTITUTE(Z4468,"~","~~"),"*","~*"),"?","~?"),$Z$5:$Z$5004,0)=4464,MAX($AA$4:AA4467)+1,""))</f>
        <v/>
      </c>
    </row>
    <row r="4469" spans="1:27">
      <c r="A4469" s="9"/>
      <c r="Z4469">
        <f>TRIM(A4469&amp;"")</f>
        <v/>
      </c>
      <c r="AA4469">
        <f>IF(Z4469="","",IF(MATCH(SUBSTITUTE(SUBSTITUTE(SUBSTITUTE(Z4469,"~","~~"),"*","~*"),"?","~?"),$Z$5:$Z$5004,0)=4465,MAX($AA$4:AA4468)+1,""))</f>
        <v/>
      </c>
    </row>
    <row r="4470" spans="1:27">
      <c r="A4470" s="9"/>
      <c r="Z4470">
        <f>TRIM(A4470&amp;"")</f>
        <v/>
      </c>
      <c r="AA4470">
        <f>IF(Z4470="","",IF(MATCH(SUBSTITUTE(SUBSTITUTE(SUBSTITUTE(Z4470,"~","~~"),"*","~*"),"?","~?"),$Z$5:$Z$5004,0)=4466,MAX($AA$4:AA4469)+1,""))</f>
        <v/>
      </c>
    </row>
    <row r="4471" spans="1:27">
      <c r="A4471" s="9"/>
      <c r="Z4471">
        <f>TRIM(A4471&amp;"")</f>
        <v/>
      </c>
      <c r="AA4471">
        <f>IF(Z4471="","",IF(MATCH(SUBSTITUTE(SUBSTITUTE(SUBSTITUTE(Z4471,"~","~~"),"*","~*"),"?","~?"),$Z$5:$Z$5004,0)=4467,MAX($AA$4:AA4470)+1,""))</f>
        <v/>
      </c>
    </row>
    <row r="4472" spans="1:27">
      <c r="A4472" s="9"/>
      <c r="Z4472">
        <f>TRIM(A4472&amp;"")</f>
        <v/>
      </c>
      <c r="AA4472">
        <f>IF(Z4472="","",IF(MATCH(SUBSTITUTE(SUBSTITUTE(SUBSTITUTE(Z4472,"~","~~"),"*","~*"),"?","~?"),$Z$5:$Z$5004,0)=4468,MAX($AA$4:AA4471)+1,""))</f>
        <v/>
      </c>
    </row>
    <row r="4473" spans="1:27">
      <c r="A4473" s="9"/>
      <c r="Z4473">
        <f>TRIM(A4473&amp;"")</f>
        <v/>
      </c>
      <c r="AA4473">
        <f>IF(Z4473="","",IF(MATCH(SUBSTITUTE(SUBSTITUTE(SUBSTITUTE(Z4473,"~","~~"),"*","~*"),"?","~?"),$Z$5:$Z$5004,0)=4469,MAX($AA$4:AA4472)+1,""))</f>
        <v/>
      </c>
    </row>
    <row r="4474" spans="1:27">
      <c r="A4474" s="9"/>
      <c r="Z4474">
        <f>TRIM(A4474&amp;"")</f>
        <v/>
      </c>
      <c r="AA4474">
        <f>IF(Z4474="","",IF(MATCH(SUBSTITUTE(SUBSTITUTE(SUBSTITUTE(Z4474,"~","~~"),"*","~*"),"?","~?"),$Z$5:$Z$5004,0)=4470,MAX($AA$4:AA4473)+1,""))</f>
        <v/>
      </c>
    </row>
    <row r="4475" spans="1:27">
      <c r="A4475" s="9"/>
      <c r="Z4475">
        <f>TRIM(A4475&amp;"")</f>
        <v/>
      </c>
      <c r="AA4475">
        <f>IF(Z4475="","",IF(MATCH(SUBSTITUTE(SUBSTITUTE(SUBSTITUTE(Z4475,"~","~~"),"*","~*"),"?","~?"),$Z$5:$Z$5004,0)=4471,MAX($AA$4:AA4474)+1,""))</f>
        <v/>
      </c>
    </row>
    <row r="4476" spans="1:27">
      <c r="A4476" s="9"/>
      <c r="Z4476">
        <f>TRIM(A4476&amp;"")</f>
        <v/>
      </c>
      <c r="AA4476">
        <f>IF(Z4476="","",IF(MATCH(SUBSTITUTE(SUBSTITUTE(SUBSTITUTE(Z4476,"~","~~"),"*","~*"),"?","~?"),$Z$5:$Z$5004,0)=4472,MAX($AA$4:AA4475)+1,""))</f>
        <v/>
      </c>
    </row>
    <row r="4477" spans="1:27">
      <c r="A4477" s="9"/>
      <c r="Z4477">
        <f>TRIM(A4477&amp;"")</f>
        <v/>
      </c>
      <c r="AA4477">
        <f>IF(Z4477="","",IF(MATCH(SUBSTITUTE(SUBSTITUTE(SUBSTITUTE(Z4477,"~","~~"),"*","~*"),"?","~?"),$Z$5:$Z$5004,0)=4473,MAX($AA$4:AA4476)+1,""))</f>
        <v/>
      </c>
    </row>
    <row r="4478" spans="1:27">
      <c r="A4478" s="9"/>
      <c r="Z4478">
        <f>TRIM(A4478&amp;"")</f>
        <v/>
      </c>
      <c r="AA4478">
        <f>IF(Z4478="","",IF(MATCH(SUBSTITUTE(SUBSTITUTE(SUBSTITUTE(Z4478,"~","~~"),"*","~*"),"?","~?"),$Z$5:$Z$5004,0)=4474,MAX($AA$4:AA4477)+1,""))</f>
        <v/>
      </c>
    </row>
    <row r="4479" spans="1:27">
      <c r="A4479" s="9"/>
      <c r="Z4479">
        <f>TRIM(A4479&amp;"")</f>
        <v/>
      </c>
      <c r="AA4479">
        <f>IF(Z4479="","",IF(MATCH(SUBSTITUTE(SUBSTITUTE(SUBSTITUTE(Z4479,"~","~~"),"*","~*"),"?","~?"),$Z$5:$Z$5004,0)=4475,MAX($AA$4:AA4478)+1,""))</f>
        <v/>
      </c>
    </row>
    <row r="4480" spans="1:27">
      <c r="A4480" s="9"/>
      <c r="Z4480">
        <f>TRIM(A4480&amp;"")</f>
        <v/>
      </c>
      <c r="AA4480">
        <f>IF(Z4480="","",IF(MATCH(SUBSTITUTE(SUBSTITUTE(SUBSTITUTE(Z4480,"~","~~"),"*","~*"),"?","~?"),$Z$5:$Z$5004,0)=4476,MAX($AA$4:AA4479)+1,""))</f>
        <v/>
      </c>
    </row>
    <row r="4481" spans="1:27">
      <c r="A4481" s="9"/>
      <c r="Z4481">
        <f>TRIM(A4481&amp;"")</f>
        <v/>
      </c>
      <c r="AA4481">
        <f>IF(Z4481="","",IF(MATCH(SUBSTITUTE(SUBSTITUTE(SUBSTITUTE(Z4481,"~","~~"),"*","~*"),"?","~?"),$Z$5:$Z$5004,0)=4477,MAX($AA$4:AA4480)+1,""))</f>
        <v/>
      </c>
    </row>
    <row r="4482" spans="1:27">
      <c r="A4482" s="9"/>
      <c r="Z4482">
        <f>TRIM(A4482&amp;"")</f>
        <v/>
      </c>
      <c r="AA4482">
        <f>IF(Z4482="","",IF(MATCH(SUBSTITUTE(SUBSTITUTE(SUBSTITUTE(Z4482,"~","~~"),"*","~*"),"?","~?"),$Z$5:$Z$5004,0)=4478,MAX($AA$4:AA4481)+1,""))</f>
        <v/>
      </c>
    </row>
    <row r="4483" spans="1:27">
      <c r="A4483" s="9"/>
      <c r="Z4483">
        <f>TRIM(A4483&amp;"")</f>
        <v/>
      </c>
      <c r="AA4483">
        <f>IF(Z4483="","",IF(MATCH(SUBSTITUTE(SUBSTITUTE(SUBSTITUTE(Z4483,"~","~~"),"*","~*"),"?","~?"),$Z$5:$Z$5004,0)=4479,MAX($AA$4:AA4482)+1,""))</f>
        <v/>
      </c>
    </row>
    <row r="4484" spans="1:27">
      <c r="A4484" s="9"/>
      <c r="Z4484">
        <f>TRIM(A4484&amp;"")</f>
        <v/>
      </c>
      <c r="AA4484">
        <f>IF(Z4484="","",IF(MATCH(SUBSTITUTE(SUBSTITUTE(SUBSTITUTE(Z4484,"~","~~"),"*","~*"),"?","~?"),$Z$5:$Z$5004,0)=4480,MAX($AA$4:AA4483)+1,""))</f>
        <v/>
      </c>
    </row>
    <row r="4485" spans="1:27">
      <c r="A4485" s="9"/>
      <c r="Z4485">
        <f>TRIM(A4485&amp;"")</f>
        <v/>
      </c>
      <c r="AA4485">
        <f>IF(Z4485="","",IF(MATCH(SUBSTITUTE(SUBSTITUTE(SUBSTITUTE(Z4485,"~","~~"),"*","~*"),"?","~?"),$Z$5:$Z$5004,0)=4481,MAX($AA$4:AA4484)+1,""))</f>
        <v/>
      </c>
    </row>
    <row r="4486" spans="1:27">
      <c r="A4486" s="9"/>
      <c r="Z4486">
        <f>TRIM(A4486&amp;"")</f>
        <v/>
      </c>
      <c r="AA4486">
        <f>IF(Z4486="","",IF(MATCH(SUBSTITUTE(SUBSTITUTE(SUBSTITUTE(Z4486,"~","~~"),"*","~*"),"?","~?"),$Z$5:$Z$5004,0)=4482,MAX($AA$4:AA4485)+1,""))</f>
        <v/>
      </c>
    </row>
    <row r="4487" spans="1:27">
      <c r="A4487" s="9"/>
      <c r="Z4487">
        <f>TRIM(A4487&amp;"")</f>
        <v/>
      </c>
      <c r="AA4487">
        <f>IF(Z4487="","",IF(MATCH(SUBSTITUTE(SUBSTITUTE(SUBSTITUTE(Z4487,"~","~~"),"*","~*"),"?","~?"),$Z$5:$Z$5004,0)=4483,MAX($AA$4:AA4486)+1,""))</f>
        <v/>
      </c>
    </row>
    <row r="4488" spans="1:27">
      <c r="A4488" s="9"/>
      <c r="Z4488">
        <f>TRIM(A4488&amp;"")</f>
        <v/>
      </c>
      <c r="AA4488">
        <f>IF(Z4488="","",IF(MATCH(SUBSTITUTE(SUBSTITUTE(SUBSTITUTE(Z4488,"~","~~"),"*","~*"),"?","~?"),$Z$5:$Z$5004,0)=4484,MAX($AA$4:AA4487)+1,""))</f>
        <v/>
      </c>
    </row>
    <row r="4489" spans="1:27">
      <c r="A4489" s="9"/>
      <c r="Z4489">
        <f>TRIM(A4489&amp;"")</f>
        <v/>
      </c>
      <c r="AA4489">
        <f>IF(Z4489="","",IF(MATCH(SUBSTITUTE(SUBSTITUTE(SUBSTITUTE(Z4489,"~","~~"),"*","~*"),"?","~?"),$Z$5:$Z$5004,0)=4485,MAX($AA$4:AA4488)+1,""))</f>
        <v/>
      </c>
    </row>
    <row r="4490" spans="1:27">
      <c r="A4490" s="9"/>
      <c r="Z4490">
        <f>TRIM(A4490&amp;"")</f>
        <v/>
      </c>
      <c r="AA4490">
        <f>IF(Z4490="","",IF(MATCH(SUBSTITUTE(SUBSTITUTE(SUBSTITUTE(Z4490,"~","~~"),"*","~*"),"?","~?"),$Z$5:$Z$5004,0)=4486,MAX($AA$4:AA4489)+1,""))</f>
        <v/>
      </c>
    </row>
    <row r="4491" spans="1:27">
      <c r="A4491" s="9"/>
      <c r="Z4491">
        <f>TRIM(A4491&amp;"")</f>
        <v/>
      </c>
      <c r="AA4491">
        <f>IF(Z4491="","",IF(MATCH(SUBSTITUTE(SUBSTITUTE(SUBSTITUTE(Z4491,"~","~~"),"*","~*"),"?","~?"),$Z$5:$Z$5004,0)=4487,MAX($AA$4:AA4490)+1,""))</f>
        <v/>
      </c>
    </row>
    <row r="4492" spans="1:27">
      <c r="A4492" s="9"/>
      <c r="Z4492">
        <f>TRIM(A4492&amp;"")</f>
        <v/>
      </c>
      <c r="AA4492">
        <f>IF(Z4492="","",IF(MATCH(SUBSTITUTE(SUBSTITUTE(SUBSTITUTE(Z4492,"~","~~"),"*","~*"),"?","~?"),$Z$5:$Z$5004,0)=4488,MAX($AA$4:AA4491)+1,""))</f>
        <v/>
      </c>
    </row>
    <row r="4493" spans="1:27">
      <c r="A4493" s="9"/>
      <c r="Z4493">
        <f>TRIM(A4493&amp;"")</f>
        <v/>
      </c>
      <c r="AA4493">
        <f>IF(Z4493="","",IF(MATCH(SUBSTITUTE(SUBSTITUTE(SUBSTITUTE(Z4493,"~","~~"),"*","~*"),"?","~?"),$Z$5:$Z$5004,0)=4489,MAX($AA$4:AA4492)+1,""))</f>
        <v/>
      </c>
    </row>
    <row r="4494" spans="1:27">
      <c r="A4494" s="9"/>
      <c r="Z4494">
        <f>TRIM(A4494&amp;"")</f>
        <v/>
      </c>
      <c r="AA4494">
        <f>IF(Z4494="","",IF(MATCH(SUBSTITUTE(SUBSTITUTE(SUBSTITUTE(Z4494,"~","~~"),"*","~*"),"?","~?"),$Z$5:$Z$5004,0)=4490,MAX($AA$4:AA4493)+1,""))</f>
        <v/>
      </c>
    </row>
    <row r="4495" spans="1:27">
      <c r="A4495" s="9"/>
      <c r="Z4495">
        <f>TRIM(A4495&amp;"")</f>
        <v/>
      </c>
      <c r="AA4495">
        <f>IF(Z4495="","",IF(MATCH(SUBSTITUTE(SUBSTITUTE(SUBSTITUTE(Z4495,"~","~~"),"*","~*"),"?","~?"),$Z$5:$Z$5004,0)=4491,MAX($AA$4:AA4494)+1,""))</f>
        <v/>
      </c>
    </row>
    <row r="4496" spans="1:27">
      <c r="A4496" s="9"/>
      <c r="Z4496">
        <f>TRIM(A4496&amp;"")</f>
        <v/>
      </c>
      <c r="AA4496">
        <f>IF(Z4496="","",IF(MATCH(SUBSTITUTE(SUBSTITUTE(SUBSTITUTE(Z4496,"~","~~"),"*","~*"),"?","~?"),$Z$5:$Z$5004,0)=4492,MAX($AA$4:AA4495)+1,""))</f>
        <v/>
      </c>
    </row>
    <row r="4497" spans="1:27">
      <c r="A4497" s="9"/>
      <c r="Z4497">
        <f>TRIM(A4497&amp;"")</f>
        <v/>
      </c>
      <c r="AA4497">
        <f>IF(Z4497="","",IF(MATCH(SUBSTITUTE(SUBSTITUTE(SUBSTITUTE(Z4497,"~","~~"),"*","~*"),"?","~?"),$Z$5:$Z$5004,0)=4493,MAX($AA$4:AA4496)+1,""))</f>
        <v/>
      </c>
    </row>
    <row r="4498" spans="1:27">
      <c r="A4498" s="9"/>
      <c r="Z4498">
        <f>TRIM(A4498&amp;"")</f>
        <v/>
      </c>
      <c r="AA4498">
        <f>IF(Z4498="","",IF(MATCH(SUBSTITUTE(SUBSTITUTE(SUBSTITUTE(Z4498,"~","~~"),"*","~*"),"?","~?"),$Z$5:$Z$5004,0)=4494,MAX($AA$4:AA4497)+1,""))</f>
        <v/>
      </c>
    </row>
    <row r="4499" spans="1:27">
      <c r="A4499" s="9"/>
      <c r="Z4499">
        <f>TRIM(A4499&amp;"")</f>
        <v/>
      </c>
      <c r="AA4499">
        <f>IF(Z4499="","",IF(MATCH(SUBSTITUTE(SUBSTITUTE(SUBSTITUTE(Z4499,"~","~~"),"*","~*"),"?","~?"),$Z$5:$Z$5004,0)=4495,MAX($AA$4:AA4498)+1,""))</f>
        <v/>
      </c>
    </row>
    <row r="4500" spans="1:27">
      <c r="A4500" s="9"/>
      <c r="Z4500">
        <f>TRIM(A4500&amp;"")</f>
        <v/>
      </c>
      <c r="AA4500">
        <f>IF(Z4500="","",IF(MATCH(SUBSTITUTE(SUBSTITUTE(SUBSTITUTE(Z4500,"~","~~"),"*","~*"),"?","~?"),$Z$5:$Z$5004,0)=4496,MAX($AA$4:AA4499)+1,""))</f>
        <v/>
      </c>
    </row>
    <row r="4501" spans="1:27">
      <c r="A4501" s="9"/>
      <c r="Z4501">
        <f>TRIM(A4501&amp;"")</f>
        <v/>
      </c>
      <c r="AA4501">
        <f>IF(Z4501="","",IF(MATCH(SUBSTITUTE(SUBSTITUTE(SUBSTITUTE(Z4501,"~","~~"),"*","~*"),"?","~?"),$Z$5:$Z$5004,0)=4497,MAX($AA$4:AA4500)+1,""))</f>
        <v/>
      </c>
    </row>
    <row r="4502" spans="1:27">
      <c r="A4502" s="9"/>
      <c r="Z4502">
        <f>TRIM(A4502&amp;"")</f>
        <v/>
      </c>
      <c r="AA4502">
        <f>IF(Z4502="","",IF(MATCH(SUBSTITUTE(SUBSTITUTE(SUBSTITUTE(Z4502,"~","~~"),"*","~*"),"?","~?"),$Z$5:$Z$5004,0)=4498,MAX($AA$4:AA4501)+1,""))</f>
        <v/>
      </c>
    </row>
    <row r="4503" spans="1:27">
      <c r="A4503" s="9"/>
      <c r="Z4503">
        <f>TRIM(A4503&amp;"")</f>
        <v/>
      </c>
      <c r="AA4503">
        <f>IF(Z4503="","",IF(MATCH(SUBSTITUTE(SUBSTITUTE(SUBSTITUTE(Z4503,"~","~~"),"*","~*"),"?","~?"),$Z$5:$Z$5004,0)=4499,MAX($AA$4:AA4502)+1,""))</f>
        <v/>
      </c>
    </row>
    <row r="4504" spans="1:27">
      <c r="A4504" s="9"/>
      <c r="Z4504">
        <f>TRIM(A4504&amp;"")</f>
        <v/>
      </c>
      <c r="AA4504">
        <f>IF(Z4504="","",IF(MATCH(SUBSTITUTE(SUBSTITUTE(SUBSTITUTE(Z4504,"~","~~"),"*","~*"),"?","~?"),$Z$5:$Z$5004,0)=4500,MAX($AA$4:AA4503)+1,""))</f>
        <v/>
      </c>
    </row>
    <row r="4505" spans="1:27">
      <c r="A4505" s="9"/>
      <c r="Z4505">
        <f>TRIM(A4505&amp;"")</f>
        <v/>
      </c>
      <c r="AA4505">
        <f>IF(Z4505="","",IF(MATCH(SUBSTITUTE(SUBSTITUTE(SUBSTITUTE(Z4505,"~","~~"),"*","~*"),"?","~?"),$Z$5:$Z$5004,0)=4501,MAX($AA$4:AA4504)+1,""))</f>
        <v/>
      </c>
    </row>
    <row r="4506" spans="1:27">
      <c r="A4506" s="9"/>
      <c r="Z4506">
        <f>TRIM(A4506&amp;"")</f>
        <v/>
      </c>
      <c r="AA4506">
        <f>IF(Z4506="","",IF(MATCH(SUBSTITUTE(SUBSTITUTE(SUBSTITUTE(Z4506,"~","~~"),"*","~*"),"?","~?"),$Z$5:$Z$5004,0)=4502,MAX($AA$4:AA4505)+1,""))</f>
        <v/>
      </c>
    </row>
    <row r="4507" spans="1:27">
      <c r="A4507" s="9"/>
      <c r="Z4507">
        <f>TRIM(A4507&amp;"")</f>
        <v/>
      </c>
      <c r="AA4507">
        <f>IF(Z4507="","",IF(MATCH(SUBSTITUTE(SUBSTITUTE(SUBSTITUTE(Z4507,"~","~~"),"*","~*"),"?","~?"),$Z$5:$Z$5004,0)=4503,MAX($AA$4:AA4506)+1,""))</f>
        <v/>
      </c>
    </row>
    <row r="4508" spans="1:27">
      <c r="A4508" s="9"/>
      <c r="Z4508">
        <f>TRIM(A4508&amp;"")</f>
        <v/>
      </c>
      <c r="AA4508">
        <f>IF(Z4508="","",IF(MATCH(SUBSTITUTE(SUBSTITUTE(SUBSTITUTE(Z4508,"~","~~"),"*","~*"),"?","~?"),$Z$5:$Z$5004,0)=4504,MAX($AA$4:AA4507)+1,""))</f>
        <v/>
      </c>
    </row>
    <row r="4509" spans="1:27">
      <c r="A4509" s="9"/>
      <c r="Z4509">
        <f>TRIM(A4509&amp;"")</f>
        <v/>
      </c>
      <c r="AA4509">
        <f>IF(Z4509="","",IF(MATCH(SUBSTITUTE(SUBSTITUTE(SUBSTITUTE(Z4509,"~","~~"),"*","~*"),"?","~?"),$Z$5:$Z$5004,0)=4505,MAX($AA$4:AA4508)+1,""))</f>
        <v/>
      </c>
    </row>
    <row r="4510" spans="1:27">
      <c r="A4510" s="9"/>
      <c r="Z4510">
        <f>TRIM(A4510&amp;"")</f>
        <v/>
      </c>
      <c r="AA4510">
        <f>IF(Z4510="","",IF(MATCH(SUBSTITUTE(SUBSTITUTE(SUBSTITUTE(Z4510,"~","~~"),"*","~*"),"?","~?"),$Z$5:$Z$5004,0)=4506,MAX($AA$4:AA4509)+1,""))</f>
        <v/>
      </c>
    </row>
    <row r="4511" spans="1:27">
      <c r="A4511" s="9"/>
      <c r="Z4511">
        <f>TRIM(A4511&amp;"")</f>
        <v/>
      </c>
      <c r="AA4511">
        <f>IF(Z4511="","",IF(MATCH(SUBSTITUTE(SUBSTITUTE(SUBSTITUTE(Z4511,"~","~~"),"*","~*"),"?","~?"),$Z$5:$Z$5004,0)=4507,MAX($AA$4:AA4510)+1,""))</f>
        <v/>
      </c>
    </row>
    <row r="4512" spans="1:27">
      <c r="A4512" s="9"/>
      <c r="Z4512">
        <f>TRIM(A4512&amp;"")</f>
        <v/>
      </c>
      <c r="AA4512">
        <f>IF(Z4512="","",IF(MATCH(SUBSTITUTE(SUBSTITUTE(SUBSTITUTE(Z4512,"~","~~"),"*","~*"),"?","~?"),$Z$5:$Z$5004,0)=4508,MAX($AA$4:AA4511)+1,""))</f>
        <v/>
      </c>
    </row>
    <row r="4513" spans="1:27">
      <c r="A4513" s="9"/>
      <c r="Z4513">
        <f>TRIM(A4513&amp;"")</f>
        <v/>
      </c>
      <c r="AA4513">
        <f>IF(Z4513="","",IF(MATCH(SUBSTITUTE(SUBSTITUTE(SUBSTITUTE(Z4513,"~","~~"),"*","~*"),"?","~?"),$Z$5:$Z$5004,0)=4509,MAX($AA$4:AA4512)+1,""))</f>
        <v/>
      </c>
    </row>
    <row r="4514" spans="1:27">
      <c r="A4514" s="9"/>
      <c r="Z4514">
        <f>TRIM(A4514&amp;"")</f>
        <v/>
      </c>
      <c r="AA4514">
        <f>IF(Z4514="","",IF(MATCH(SUBSTITUTE(SUBSTITUTE(SUBSTITUTE(Z4514,"~","~~"),"*","~*"),"?","~?"),$Z$5:$Z$5004,0)=4510,MAX($AA$4:AA4513)+1,""))</f>
        <v/>
      </c>
    </row>
    <row r="4515" spans="1:27">
      <c r="A4515" s="9"/>
      <c r="Z4515">
        <f>TRIM(A4515&amp;"")</f>
        <v/>
      </c>
      <c r="AA4515">
        <f>IF(Z4515="","",IF(MATCH(SUBSTITUTE(SUBSTITUTE(SUBSTITUTE(Z4515,"~","~~"),"*","~*"),"?","~?"),$Z$5:$Z$5004,0)=4511,MAX($AA$4:AA4514)+1,""))</f>
        <v/>
      </c>
    </row>
    <row r="4516" spans="1:27">
      <c r="A4516" s="9"/>
      <c r="Z4516">
        <f>TRIM(A4516&amp;"")</f>
        <v/>
      </c>
      <c r="AA4516">
        <f>IF(Z4516="","",IF(MATCH(SUBSTITUTE(SUBSTITUTE(SUBSTITUTE(Z4516,"~","~~"),"*","~*"),"?","~?"),$Z$5:$Z$5004,0)=4512,MAX($AA$4:AA4515)+1,""))</f>
        <v/>
      </c>
    </row>
    <row r="4517" spans="1:27">
      <c r="A4517" s="9"/>
      <c r="Z4517">
        <f>TRIM(A4517&amp;"")</f>
        <v/>
      </c>
      <c r="AA4517">
        <f>IF(Z4517="","",IF(MATCH(SUBSTITUTE(SUBSTITUTE(SUBSTITUTE(Z4517,"~","~~"),"*","~*"),"?","~?"),$Z$5:$Z$5004,0)=4513,MAX($AA$4:AA4516)+1,""))</f>
        <v/>
      </c>
    </row>
    <row r="4518" spans="1:27">
      <c r="A4518" s="9"/>
      <c r="Z4518">
        <f>TRIM(A4518&amp;"")</f>
        <v/>
      </c>
      <c r="AA4518">
        <f>IF(Z4518="","",IF(MATCH(SUBSTITUTE(SUBSTITUTE(SUBSTITUTE(Z4518,"~","~~"),"*","~*"),"?","~?"),$Z$5:$Z$5004,0)=4514,MAX($AA$4:AA4517)+1,""))</f>
        <v/>
      </c>
    </row>
    <row r="4519" spans="1:27">
      <c r="A4519" s="9"/>
      <c r="Z4519">
        <f>TRIM(A4519&amp;"")</f>
        <v/>
      </c>
      <c r="AA4519">
        <f>IF(Z4519="","",IF(MATCH(SUBSTITUTE(SUBSTITUTE(SUBSTITUTE(Z4519,"~","~~"),"*","~*"),"?","~?"),$Z$5:$Z$5004,0)=4515,MAX($AA$4:AA4518)+1,""))</f>
        <v/>
      </c>
    </row>
    <row r="4520" spans="1:27">
      <c r="A4520" s="9"/>
      <c r="Z4520">
        <f>TRIM(A4520&amp;"")</f>
        <v/>
      </c>
      <c r="AA4520">
        <f>IF(Z4520="","",IF(MATCH(SUBSTITUTE(SUBSTITUTE(SUBSTITUTE(Z4520,"~","~~"),"*","~*"),"?","~?"),$Z$5:$Z$5004,0)=4516,MAX($AA$4:AA4519)+1,""))</f>
        <v/>
      </c>
    </row>
    <row r="4521" spans="1:27">
      <c r="A4521" s="9"/>
      <c r="Z4521">
        <f>TRIM(A4521&amp;"")</f>
        <v/>
      </c>
      <c r="AA4521">
        <f>IF(Z4521="","",IF(MATCH(SUBSTITUTE(SUBSTITUTE(SUBSTITUTE(Z4521,"~","~~"),"*","~*"),"?","~?"),$Z$5:$Z$5004,0)=4517,MAX($AA$4:AA4520)+1,""))</f>
        <v/>
      </c>
    </row>
    <row r="4522" spans="1:27">
      <c r="A4522" s="9"/>
      <c r="Z4522">
        <f>TRIM(A4522&amp;"")</f>
        <v/>
      </c>
      <c r="AA4522">
        <f>IF(Z4522="","",IF(MATCH(SUBSTITUTE(SUBSTITUTE(SUBSTITUTE(Z4522,"~","~~"),"*","~*"),"?","~?"),$Z$5:$Z$5004,0)=4518,MAX($AA$4:AA4521)+1,""))</f>
        <v/>
      </c>
    </row>
    <row r="4523" spans="1:27">
      <c r="A4523" s="9"/>
      <c r="Z4523">
        <f>TRIM(A4523&amp;"")</f>
        <v/>
      </c>
      <c r="AA4523">
        <f>IF(Z4523="","",IF(MATCH(SUBSTITUTE(SUBSTITUTE(SUBSTITUTE(Z4523,"~","~~"),"*","~*"),"?","~?"),$Z$5:$Z$5004,0)=4519,MAX($AA$4:AA4522)+1,""))</f>
        <v/>
      </c>
    </row>
    <row r="4524" spans="1:27">
      <c r="A4524" s="9"/>
      <c r="Z4524">
        <f>TRIM(A4524&amp;"")</f>
        <v/>
      </c>
      <c r="AA4524">
        <f>IF(Z4524="","",IF(MATCH(SUBSTITUTE(SUBSTITUTE(SUBSTITUTE(Z4524,"~","~~"),"*","~*"),"?","~?"),$Z$5:$Z$5004,0)=4520,MAX($AA$4:AA4523)+1,""))</f>
        <v/>
      </c>
    </row>
    <row r="4525" spans="1:27">
      <c r="A4525" s="9"/>
      <c r="Z4525">
        <f>TRIM(A4525&amp;"")</f>
        <v/>
      </c>
      <c r="AA4525">
        <f>IF(Z4525="","",IF(MATCH(SUBSTITUTE(SUBSTITUTE(SUBSTITUTE(Z4525,"~","~~"),"*","~*"),"?","~?"),$Z$5:$Z$5004,0)=4521,MAX($AA$4:AA4524)+1,""))</f>
        <v/>
      </c>
    </row>
    <row r="4526" spans="1:27">
      <c r="A4526" s="9"/>
      <c r="Z4526">
        <f>TRIM(A4526&amp;"")</f>
        <v/>
      </c>
      <c r="AA4526">
        <f>IF(Z4526="","",IF(MATCH(SUBSTITUTE(SUBSTITUTE(SUBSTITUTE(Z4526,"~","~~"),"*","~*"),"?","~?"),$Z$5:$Z$5004,0)=4522,MAX($AA$4:AA4525)+1,""))</f>
        <v/>
      </c>
    </row>
    <row r="4527" spans="1:27">
      <c r="A4527" s="9"/>
      <c r="Z4527">
        <f>TRIM(A4527&amp;"")</f>
        <v/>
      </c>
      <c r="AA4527">
        <f>IF(Z4527="","",IF(MATCH(SUBSTITUTE(SUBSTITUTE(SUBSTITUTE(Z4527,"~","~~"),"*","~*"),"?","~?"),$Z$5:$Z$5004,0)=4523,MAX($AA$4:AA4526)+1,""))</f>
        <v/>
      </c>
    </row>
    <row r="4528" spans="1:27">
      <c r="A4528" s="9"/>
      <c r="Z4528">
        <f>TRIM(A4528&amp;"")</f>
        <v/>
      </c>
      <c r="AA4528">
        <f>IF(Z4528="","",IF(MATCH(SUBSTITUTE(SUBSTITUTE(SUBSTITUTE(Z4528,"~","~~"),"*","~*"),"?","~?"),$Z$5:$Z$5004,0)=4524,MAX($AA$4:AA4527)+1,""))</f>
        <v/>
      </c>
    </row>
    <row r="4529" spans="1:27">
      <c r="A4529" s="9"/>
      <c r="Z4529">
        <f>TRIM(A4529&amp;"")</f>
        <v/>
      </c>
      <c r="AA4529">
        <f>IF(Z4529="","",IF(MATCH(SUBSTITUTE(SUBSTITUTE(SUBSTITUTE(Z4529,"~","~~"),"*","~*"),"?","~?"),$Z$5:$Z$5004,0)=4525,MAX($AA$4:AA4528)+1,""))</f>
        <v/>
      </c>
    </row>
    <row r="4530" spans="1:27">
      <c r="A4530" s="9"/>
      <c r="Z4530">
        <f>TRIM(A4530&amp;"")</f>
        <v/>
      </c>
      <c r="AA4530">
        <f>IF(Z4530="","",IF(MATCH(SUBSTITUTE(SUBSTITUTE(SUBSTITUTE(Z4530,"~","~~"),"*","~*"),"?","~?"),$Z$5:$Z$5004,0)=4526,MAX($AA$4:AA4529)+1,""))</f>
        <v/>
      </c>
    </row>
    <row r="4531" spans="1:27">
      <c r="A4531" s="9"/>
      <c r="Z4531">
        <f>TRIM(A4531&amp;"")</f>
        <v/>
      </c>
      <c r="AA4531">
        <f>IF(Z4531="","",IF(MATCH(SUBSTITUTE(SUBSTITUTE(SUBSTITUTE(Z4531,"~","~~"),"*","~*"),"?","~?"),$Z$5:$Z$5004,0)=4527,MAX($AA$4:AA4530)+1,""))</f>
        <v/>
      </c>
    </row>
    <row r="4532" spans="1:27">
      <c r="A4532" s="9"/>
      <c r="Z4532">
        <f>TRIM(A4532&amp;"")</f>
        <v/>
      </c>
      <c r="AA4532">
        <f>IF(Z4532="","",IF(MATCH(SUBSTITUTE(SUBSTITUTE(SUBSTITUTE(Z4532,"~","~~"),"*","~*"),"?","~?"),$Z$5:$Z$5004,0)=4528,MAX($AA$4:AA4531)+1,""))</f>
        <v/>
      </c>
    </row>
    <row r="4533" spans="1:27">
      <c r="A4533" s="9"/>
      <c r="Z4533">
        <f>TRIM(A4533&amp;"")</f>
        <v/>
      </c>
      <c r="AA4533">
        <f>IF(Z4533="","",IF(MATCH(SUBSTITUTE(SUBSTITUTE(SUBSTITUTE(Z4533,"~","~~"),"*","~*"),"?","~?"),$Z$5:$Z$5004,0)=4529,MAX($AA$4:AA4532)+1,""))</f>
        <v/>
      </c>
    </row>
    <row r="4534" spans="1:27">
      <c r="A4534" s="9"/>
      <c r="Z4534">
        <f>TRIM(A4534&amp;"")</f>
        <v/>
      </c>
      <c r="AA4534">
        <f>IF(Z4534="","",IF(MATCH(SUBSTITUTE(SUBSTITUTE(SUBSTITUTE(Z4534,"~","~~"),"*","~*"),"?","~?"),$Z$5:$Z$5004,0)=4530,MAX($AA$4:AA4533)+1,""))</f>
        <v/>
      </c>
    </row>
    <row r="4535" spans="1:27">
      <c r="A4535" s="9"/>
      <c r="Z4535">
        <f>TRIM(A4535&amp;"")</f>
        <v/>
      </c>
      <c r="AA4535">
        <f>IF(Z4535="","",IF(MATCH(SUBSTITUTE(SUBSTITUTE(SUBSTITUTE(Z4535,"~","~~"),"*","~*"),"?","~?"),$Z$5:$Z$5004,0)=4531,MAX($AA$4:AA4534)+1,""))</f>
        <v/>
      </c>
    </row>
    <row r="4536" spans="1:27">
      <c r="A4536" s="9"/>
      <c r="Z4536">
        <f>TRIM(A4536&amp;"")</f>
        <v/>
      </c>
      <c r="AA4536">
        <f>IF(Z4536="","",IF(MATCH(SUBSTITUTE(SUBSTITUTE(SUBSTITUTE(Z4536,"~","~~"),"*","~*"),"?","~?"),$Z$5:$Z$5004,0)=4532,MAX($AA$4:AA4535)+1,""))</f>
        <v/>
      </c>
    </row>
    <row r="4537" spans="1:27">
      <c r="A4537" s="9"/>
      <c r="Z4537">
        <f>TRIM(A4537&amp;"")</f>
        <v/>
      </c>
      <c r="AA4537">
        <f>IF(Z4537="","",IF(MATCH(SUBSTITUTE(SUBSTITUTE(SUBSTITUTE(Z4537,"~","~~"),"*","~*"),"?","~?"),$Z$5:$Z$5004,0)=4533,MAX($AA$4:AA4536)+1,""))</f>
        <v/>
      </c>
    </row>
    <row r="4538" spans="1:27">
      <c r="A4538" s="9"/>
      <c r="Z4538">
        <f>TRIM(A4538&amp;"")</f>
        <v/>
      </c>
      <c r="AA4538">
        <f>IF(Z4538="","",IF(MATCH(SUBSTITUTE(SUBSTITUTE(SUBSTITUTE(Z4538,"~","~~"),"*","~*"),"?","~?"),$Z$5:$Z$5004,0)=4534,MAX($AA$4:AA4537)+1,""))</f>
        <v/>
      </c>
    </row>
    <row r="4539" spans="1:27">
      <c r="A4539" s="9"/>
      <c r="Z4539">
        <f>TRIM(A4539&amp;"")</f>
        <v/>
      </c>
      <c r="AA4539">
        <f>IF(Z4539="","",IF(MATCH(SUBSTITUTE(SUBSTITUTE(SUBSTITUTE(Z4539,"~","~~"),"*","~*"),"?","~?"),$Z$5:$Z$5004,0)=4535,MAX($AA$4:AA4538)+1,""))</f>
        <v/>
      </c>
    </row>
    <row r="4540" spans="1:27">
      <c r="A4540" s="9"/>
      <c r="Z4540">
        <f>TRIM(A4540&amp;"")</f>
        <v/>
      </c>
      <c r="AA4540">
        <f>IF(Z4540="","",IF(MATCH(SUBSTITUTE(SUBSTITUTE(SUBSTITUTE(Z4540,"~","~~"),"*","~*"),"?","~?"),$Z$5:$Z$5004,0)=4536,MAX($AA$4:AA4539)+1,""))</f>
        <v/>
      </c>
    </row>
    <row r="4541" spans="1:27">
      <c r="A4541" s="9"/>
      <c r="Z4541">
        <f>TRIM(A4541&amp;"")</f>
        <v/>
      </c>
      <c r="AA4541">
        <f>IF(Z4541="","",IF(MATCH(SUBSTITUTE(SUBSTITUTE(SUBSTITUTE(Z4541,"~","~~"),"*","~*"),"?","~?"),$Z$5:$Z$5004,0)=4537,MAX($AA$4:AA4540)+1,""))</f>
        <v/>
      </c>
    </row>
    <row r="4542" spans="1:27">
      <c r="A4542" s="9"/>
      <c r="Z4542">
        <f>TRIM(A4542&amp;"")</f>
        <v/>
      </c>
      <c r="AA4542">
        <f>IF(Z4542="","",IF(MATCH(SUBSTITUTE(SUBSTITUTE(SUBSTITUTE(Z4542,"~","~~"),"*","~*"),"?","~?"),$Z$5:$Z$5004,0)=4538,MAX($AA$4:AA4541)+1,""))</f>
        <v/>
      </c>
    </row>
    <row r="4543" spans="1:27">
      <c r="A4543" s="9"/>
      <c r="Z4543">
        <f>TRIM(A4543&amp;"")</f>
        <v/>
      </c>
      <c r="AA4543">
        <f>IF(Z4543="","",IF(MATCH(SUBSTITUTE(SUBSTITUTE(SUBSTITUTE(Z4543,"~","~~"),"*","~*"),"?","~?"),$Z$5:$Z$5004,0)=4539,MAX($AA$4:AA4542)+1,""))</f>
        <v/>
      </c>
    </row>
    <row r="4544" spans="1:27">
      <c r="A4544" s="9"/>
      <c r="Z4544">
        <f>TRIM(A4544&amp;"")</f>
        <v/>
      </c>
      <c r="AA4544">
        <f>IF(Z4544="","",IF(MATCH(SUBSTITUTE(SUBSTITUTE(SUBSTITUTE(Z4544,"~","~~"),"*","~*"),"?","~?"),$Z$5:$Z$5004,0)=4540,MAX($AA$4:AA4543)+1,""))</f>
        <v/>
      </c>
    </row>
    <row r="4545" spans="1:27">
      <c r="A4545" s="9"/>
      <c r="Z4545">
        <f>TRIM(A4545&amp;"")</f>
        <v/>
      </c>
      <c r="AA4545">
        <f>IF(Z4545="","",IF(MATCH(SUBSTITUTE(SUBSTITUTE(SUBSTITUTE(Z4545,"~","~~"),"*","~*"),"?","~?"),$Z$5:$Z$5004,0)=4541,MAX($AA$4:AA4544)+1,""))</f>
        <v/>
      </c>
    </row>
    <row r="4546" spans="1:27">
      <c r="A4546" s="9"/>
      <c r="Z4546">
        <f>TRIM(A4546&amp;"")</f>
        <v/>
      </c>
      <c r="AA4546">
        <f>IF(Z4546="","",IF(MATCH(SUBSTITUTE(SUBSTITUTE(SUBSTITUTE(Z4546,"~","~~"),"*","~*"),"?","~?"),$Z$5:$Z$5004,0)=4542,MAX($AA$4:AA4545)+1,""))</f>
        <v/>
      </c>
    </row>
    <row r="4547" spans="1:27">
      <c r="A4547" s="9"/>
      <c r="Z4547">
        <f>TRIM(A4547&amp;"")</f>
        <v/>
      </c>
      <c r="AA4547">
        <f>IF(Z4547="","",IF(MATCH(SUBSTITUTE(SUBSTITUTE(SUBSTITUTE(Z4547,"~","~~"),"*","~*"),"?","~?"),$Z$5:$Z$5004,0)=4543,MAX($AA$4:AA4546)+1,""))</f>
        <v/>
      </c>
    </row>
    <row r="4548" spans="1:27">
      <c r="A4548" s="9"/>
      <c r="Z4548">
        <f>TRIM(A4548&amp;"")</f>
        <v/>
      </c>
      <c r="AA4548">
        <f>IF(Z4548="","",IF(MATCH(SUBSTITUTE(SUBSTITUTE(SUBSTITUTE(Z4548,"~","~~"),"*","~*"),"?","~?"),$Z$5:$Z$5004,0)=4544,MAX($AA$4:AA4547)+1,""))</f>
        <v/>
      </c>
    </row>
    <row r="4549" spans="1:27">
      <c r="A4549" s="9"/>
      <c r="Z4549">
        <f>TRIM(A4549&amp;"")</f>
        <v/>
      </c>
      <c r="AA4549">
        <f>IF(Z4549="","",IF(MATCH(SUBSTITUTE(SUBSTITUTE(SUBSTITUTE(Z4549,"~","~~"),"*","~*"),"?","~?"),$Z$5:$Z$5004,0)=4545,MAX($AA$4:AA4548)+1,""))</f>
        <v/>
      </c>
    </row>
    <row r="4550" spans="1:27">
      <c r="A4550" s="9"/>
      <c r="Z4550">
        <f>TRIM(A4550&amp;"")</f>
        <v/>
      </c>
      <c r="AA4550">
        <f>IF(Z4550="","",IF(MATCH(SUBSTITUTE(SUBSTITUTE(SUBSTITUTE(Z4550,"~","~~"),"*","~*"),"?","~?"),$Z$5:$Z$5004,0)=4546,MAX($AA$4:AA4549)+1,""))</f>
        <v/>
      </c>
    </row>
    <row r="4551" spans="1:27">
      <c r="A4551" s="9"/>
      <c r="Z4551">
        <f>TRIM(A4551&amp;"")</f>
        <v/>
      </c>
      <c r="AA4551">
        <f>IF(Z4551="","",IF(MATCH(SUBSTITUTE(SUBSTITUTE(SUBSTITUTE(Z4551,"~","~~"),"*","~*"),"?","~?"),$Z$5:$Z$5004,0)=4547,MAX($AA$4:AA4550)+1,""))</f>
        <v/>
      </c>
    </row>
    <row r="4552" spans="1:27">
      <c r="A4552" s="9"/>
      <c r="Z4552">
        <f>TRIM(A4552&amp;"")</f>
        <v/>
      </c>
      <c r="AA4552">
        <f>IF(Z4552="","",IF(MATCH(SUBSTITUTE(SUBSTITUTE(SUBSTITUTE(Z4552,"~","~~"),"*","~*"),"?","~?"),$Z$5:$Z$5004,0)=4548,MAX($AA$4:AA4551)+1,""))</f>
        <v/>
      </c>
    </row>
    <row r="4553" spans="1:27">
      <c r="A4553" s="9"/>
      <c r="Z4553">
        <f>TRIM(A4553&amp;"")</f>
        <v/>
      </c>
      <c r="AA4553">
        <f>IF(Z4553="","",IF(MATCH(SUBSTITUTE(SUBSTITUTE(SUBSTITUTE(Z4553,"~","~~"),"*","~*"),"?","~?"),$Z$5:$Z$5004,0)=4549,MAX($AA$4:AA4552)+1,""))</f>
        <v/>
      </c>
    </row>
    <row r="4554" spans="1:27">
      <c r="A4554" s="9"/>
      <c r="Z4554">
        <f>TRIM(A4554&amp;"")</f>
        <v/>
      </c>
      <c r="AA4554">
        <f>IF(Z4554="","",IF(MATCH(SUBSTITUTE(SUBSTITUTE(SUBSTITUTE(Z4554,"~","~~"),"*","~*"),"?","~?"),$Z$5:$Z$5004,0)=4550,MAX($AA$4:AA4553)+1,""))</f>
        <v/>
      </c>
    </row>
    <row r="4555" spans="1:27">
      <c r="A4555" s="9"/>
      <c r="Z4555">
        <f>TRIM(A4555&amp;"")</f>
        <v/>
      </c>
      <c r="AA4555">
        <f>IF(Z4555="","",IF(MATCH(SUBSTITUTE(SUBSTITUTE(SUBSTITUTE(Z4555,"~","~~"),"*","~*"),"?","~?"),$Z$5:$Z$5004,0)=4551,MAX($AA$4:AA4554)+1,""))</f>
        <v/>
      </c>
    </row>
    <row r="4556" spans="1:27">
      <c r="A4556" s="9"/>
      <c r="Z4556">
        <f>TRIM(A4556&amp;"")</f>
        <v/>
      </c>
      <c r="AA4556">
        <f>IF(Z4556="","",IF(MATCH(SUBSTITUTE(SUBSTITUTE(SUBSTITUTE(Z4556,"~","~~"),"*","~*"),"?","~?"),$Z$5:$Z$5004,0)=4552,MAX($AA$4:AA4555)+1,""))</f>
        <v/>
      </c>
    </row>
    <row r="4557" spans="1:27">
      <c r="A4557" s="9"/>
      <c r="Z4557">
        <f>TRIM(A4557&amp;"")</f>
        <v/>
      </c>
      <c r="AA4557">
        <f>IF(Z4557="","",IF(MATCH(SUBSTITUTE(SUBSTITUTE(SUBSTITUTE(Z4557,"~","~~"),"*","~*"),"?","~?"),$Z$5:$Z$5004,0)=4553,MAX($AA$4:AA4556)+1,""))</f>
        <v/>
      </c>
    </row>
    <row r="4558" spans="1:27">
      <c r="A4558" s="9"/>
      <c r="Z4558">
        <f>TRIM(A4558&amp;"")</f>
        <v/>
      </c>
      <c r="AA4558">
        <f>IF(Z4558="","",IF(MATCH(SUBSTITUTE(SUBSTITUTE(SUBSTITUTE(Z4558,"~","~~"),"*","~*"),"?","~?"),$Z$5:$Z$5004,0)=4554,MAX($AA$4:AA4557)+1,""))</f>
        <v/>
      </c>
    </row>
    <row r="4559" spans="1:27">
      <c r="A4559" s="9"/>
      <c r="Z4559">
        <f>TRIM(A4559&amp;"")</f>
        <v/>
      </c>
      <c r="AA4559">
        <f>IF(Z4559="","",IF(MATCH(SUBSTITUTE(SUBSTITUTE(SUBSTITUTE(Z4559,"~","~~"),"*","~*"),"?","~?"),$Z$5:$Z$5004,0)=4555,MAX($AA$4:AA4558)+1,""))</f>
        <v/>
      </c>
    </row>
    <row r="4560" spans="1:27">
      <c r="A4560" s="9"/>
      <c r="Z4560">
        <f>TRIM(A4560&amp;"")</f>
        <v/>
      </c>
      <c r="AA4560">
        <f>IF(Z4560="","",IF(MATCH(SUBSTITUTE(SUBSTITUTE(SUBSTITUTE(Z4560,"~","~~"),"*","~*"),"?","~?"),$Z$5:$Z$5004,0)=4556,MAX($AA$4:AA4559)+1,""))</f>
        <v/>
      </c>
    </row>
    <row r="4561" spans="1:27">
      <c r="A4561" s="9"/>
      <c r="Z4561">
        <f>TRIM(A4561&amp;"")</f>
        <v/>
      </c>
      <c r="AA4561">
        <f>IF(Z4561="","",IF(MATCH(SUBSTITUTE(SUBSTITUTE(SUBSTITUTE(Z4561,"~","~~"),"*","~*"),"?","~?"),$Z$5:$Z$5004,0)=4557,MAX($AA$4:AA4560)+1,""))</f>
        <v/>
      </c>
    </row>
    <row r="4562" spans="1:27">
      <c r="A4562" s="9"/>
      <c r="Z4562">
        <f>TRIM(A4562&amp;"")</f>
        <v/>
      </c>
      <c r="AA4562">
        <f>IF(Z4562="","",IF(MATCH(SUBSTITUTE(SUBSTITUTE(SUBSTITUTE(Z4562,"~","~~"),"*","~*"),"?","~?"),$Z$5:$Z$5004,0)=4558,MAX($AA$4:AA4561)+1,""))</f>
        <v/>
      </c>
    </row>
    <row r="4563" spans="1:27">
      <c r="A4563" s="9"/>
      <c r="Z4563">
        <f>TRIM(A4563&amp;"")</f>
        <v/>
      </c>
      <c r="AA4563">
        <f>IF(Z4563="","",IF(MATCH(SUBSTITUTE(SUBSTITUTE(SUBSTITUTE(Z4563,"~","~~"),"*","~*"),"?","~?"),$Z$5:$Z$5004,0)=4559,MAX($AA$4:AA4562)+1,""))</f>
        <v/>
      </c>
    </row>
    <row r="4564" spans="1:27">
      <c r="A4564" s="9"/>
      <c r="Z4564">
        <f>TRIM(A4564&amp;"")</f>
        <v/>
      </c>
      <c r="AA4564">
        <f>IF(Z4564="","",IF(MATCH(SUBSTITUTE(SUBSTITUTE(SUBSTITUTE(Z4564,"~","~~"),"*","~*"),"?","~?"),$Z$5:$Z$5004,0)=4560,MAX($AA$4:AA4563)+1,""))</f>
        <v/>
      </c>
    </row>
    <row r="4565" spans="1:27">
      <c r="A4565" s="9"/>
      <c r="Z4565">
        <f>TRIM(A4565&amp;"")</f>
        <v/>
      </c>
      <c r="AA4565">
        <f>IF(Z4565="","",IF(MATCH(SUBSTITUTE(SUBSTITUTE(SUBSTITUTE(Z4565,"~","~~"),"*","~*"),"?","~?"),$Z$5:$Z$5004,0)=4561,MAX($AA$4:AA4564)+1,""))</f>
        <v/>
      </c>
    </row>
    <row r="4566" spans="1:27">
      <c r="A4566" s="9"/>
      <c r="Z4566">
        <f>TRIM(A4566&amp;"")</f>
        <v/>
      </c>
      <c r="AA4566">
        <f>IF(Z4566="","",IF(MATCH(SUBSTITUTE(SUBSTITUTE(SUBSTITUTE(Z4566,"~","~~"),"*","~*"),"?","~?"),$Z$5:$Z$5004,0)=4562,MAX($AA$4:AA4565)+1,""))</f>
        <v/>
      </c>
    </row>
    <row r="4567" spans="1:27">
      <c r="A4567" s="9"/>
      <c r="Z4567">
        <f>TRIM(A4567&amp;"")</f>
        <v/>
      </c>
      <c r="AA4567">
        <f>IF(Z4567="","",IF(MATCH(SUBSTITUTE(SUBSTITUTE(SUBSTITUTE(Z4567,"~","~~"),"*","~*"),"?","~?"),$Z$5:$Z$5004,0)=4563,MAX($AA$4:AA4566)+1,""))</f>
        <v/>
      </c>
    </row>
    <row r="4568" spans="1:27">
      <c r="A4568" s="9"/>
      <c r="Z4568">
        <f>TRIM(A4568&amp;"")</f>
        <v/>
      </c>
      <c r="AA4568">
        <f>IF(Z4568="","",IF(MATCH(SUBSTITUTE(SUBSTITUTE(SUBSTITUTE(Z4568,"~","~~"),"*","~*"),"?","~?"),$Z$5:$Z$5004,0)=4564,MAX($AA$4:AA4567)+1,""))</f>
        <v/>
      </c>
    </row>
    <row r="4569" spans="1:27">
      <c r="A4569" s="9"/>
      <c r="Z4569">
        <f>TRIM(A4569&amp;"")</f>
        <v/>
      </c>
      <c r="AA4569">
        <f>IF(Z4569="","",IF(MATCH(SUBSTITUTE(SUBSTITUTE(SUBSTITUTE(Z4569,"~","~~"),"*","~*"),"?","~?"),$Z$5:$Z$5004,0)=4565,MAX($AA$4:AA4568)+1,""))</f>
        <v/>
      </c>
    </row>
    <row r="4570" spans="1:27">
      <c r="A4570" s="9"/>
      <c r="Z4570">
        <f>TRIM(A4570&amp;"")</f>
        <v/>
      </c>
      <c r="AA4570">
        <f>IF(Z4570="","",IF(MATCH(SUBSTITUTE(SUBSTITUTE(SUBSTITUTE(Z4570,"~","~~"),"*","~*"),"?","~?"),$Z$5:$Z$5004,0)=4566,MAX($AA$4:AA4569)+1,""))</f>
        <v/>
      </c>
    </row>
    <row r="4571" spans="1:27">
      <c r="A4571" s="9"/>
      <c r="Z4571">
        <f>TRIM(A4571&amp;"")</f>
        <v/>
      </c>
      <c r="AA4571">
        <f>IF(Z4571="","",IF(MATCH(SUBSTITUTE(SUBSTITUTE(SUBSTITUTE(Z4571,"~","~~"),"*","~*"),"?","~?"),$Z$5:$Z$5004,0)=4567,MAX($AA$4:AA4570)+1,""))</f>
        <v/>
      </c>
    </row>
    <row r="4572" spans="1:27">
      <c r="A4572" s="9"/>
      <c r="Z4572">
        <f>TRIM(A4572&amp;"")</f>
        <v/>
      </c>
      <c r="AA4572">
        <f>IF(Z4572="","",IF(MATCH(SUBSTITUTE(SUBSTITUTE(SUBSTITUTE(Z4572,"~","~~"),"*","~*"),"?","~?"),$Z$5:$Z$5004,0)=4568,MAX($AA$4:AA4571)+1,""))</f>
        <v/>
      </c>
    </row>
    <row r="4573" spans="1:27">
      <c r="A4573" s="9"/>
      <c r="Z4573">
        <f>TRIM(A4573&amp;"")</f>
        <v/>
      </c>
      <c r="AA4573">
        <f>IF(Z4573="","",IF(MATCH(SUBSTITUTE(SUBSTITUTE(SUBSTITUTE(Z4573,"~","~~"),"*","~*"),"?","~?"),$Z$5:$Z$5004,0)=4569,MAX($AA$4:AA4572)+1,""))</f>
        <v/>
      </c>
    </row>
    <row r="4574" spans="1:27">
      <c r="A4574" s="9"/>
      <c r="Z4574">
        <f>TRIM(A4574&amp;"")</f>
        <v/>
      </c>
      <c r="AA4574">
        <f>IF(Z4574="","",IF(MATCH(SUBSTITUTE(SUBSTITUTE(SUBSTITUTE(Z4574,"~","~~"),"*","~*"),"?","~?"),$Z$5:$Z$5004,0)=4570,MAX($AA$4:AA4573)+1,""))</f>
        <v/>
      </c>
    </row>
    <row r="4575" spans="1:27">
      <c r="A4575" s="9"/>
      <c r="Z4575">
        <f>TRIM(A4575&amp;"")</f>
        <v/>
      </c>
      <c r="AA4575">
        <f>IF(Z4575="","",IF(MATCH(SUBSTITUTE(SUBSTITUTE(SUBSTITUTE(Z4575,"~","~~"),"*","~*"),"?","~?"),$Z$5:$Z$5004,0)=4571,MAX($AA$4:AA4574)+1,""))</f>
        <v/>
      </c>
    </row>
    <row r="4576" spans="1:27">
      <c r="A4576" s="9"/>
      <c r="Z4576">
        <f>TRIM(A4576&amp;"")</f>
        <v/>
      </c>
      <c r="AA4576">
        <f>IF(Z4576="","",IF(MATCH(SUBSTITUTE(SUBSTITUTE(SUBSTITUTE(Z4576,"~","~~"),"*","~*"),"?","~?"),$Z$5:$Z$5004,0)=4572,MAX($AA$4:AA4575)+1,""))</f>
        <v/>
      </c>
    </row>
    <row r="4577" spans="1:27">
      <c r="A4577" s="9"/>
      <c r="Z4577">
        <f>TRIM(A4577&amp;"")</f>
        <v/>
      </c>
      <c r="AA4577">
        <f>IF(Z4577="","",IF(MATCH(SUBSTITUTE(SUBSTITUTE(SUBSTITUTE(Z4577,"~","~~"),"*","~*"),"?","~?"),$Z$5:$Z$5004,0)=4573,MAX($AA$4:AA4576)+1,""))</f>
        <v/>
      </c>
    </row>
    <row r="4578" spans="1:27">
      <c r="A4578" s="9"/>
      <c r="Z4578">
        <f>TRIM(A4578&amp;"")</f>
        <v/>
      </c>
      <c r="AA4578">
        <f>IF(Z4578="","",IF(MATCH(SUBSTITUTE(SUBSTITUTE(SUBSTITUTE(Z4578,"~","~~"),"*","~*"),"?","~?"),$Z$5:$Z$5004,0)=4574,MAX($AA$4:AA4577)+1,""))</f>
        <v/>
      </c>
    </row>
    <row r="4579" spans="1:27">
      <c r="A4579" s="9"/>
      <c r="Z4579">
        <f>TRIM(A4579&amp;"")</f>
        <v/>
      </c>
      <c r="AA4579">
        <f>IF(Z4579="","",IF(MATCH(SUBSTITUTE(SUBSTITUTE(SUBSTITUTE(Z4579,"~","~~"),"*","~*"),"?","~?"),$Z$5:$Z$5004,0)=4575,MAX($AA$4:AA4578)+1,""))</f>
        <v/>
      </c>
    </row>
    <row r="4580" spans="1:27">
      <c r="A4580" s="9"/>
      <c r="Z4580">
        <f>TRIM(A4580&amp;"")</f>
        <v/>
      </c>
      <c r="AA4580">
        <f>IF(Z4580="","",IF(MATCH(SUBSTITUTE(SUBSTITUTE(SUBSTITUTE(Z4580,"~","~~"),"*","~*"),"?","~?"),$Z$5:$Z$5004,0)=4576,MAX($AA$4:AA4579)+1,""))</f>
        <v/>
      </c>
    </row>
    <row r="4581" spans="1:27">
      <c r="A4581" s="9"/>
      <c r="Z4581">
        <f>TRIM(A4581&amp;"")</f>
        <v/>
      </c>
      <c r="AA4581">
        <f>IF(Z4581="","",IF(MATCH(SUBSTITUTE(SUBSTITUTE(SUBSTITUTE(Z4581,"~","~~"),"*","~*"),"?","~?"),$Z$5:$Z$5004,0)=4577,MAX($AA$4:AA4580)+1,""))</f>
        <v/>
      </c>
    </row>
    <row r="4582" spans="1:27">
      <c r="A4582" s="9"/>
      <c r="Z4582">
        <f>TRIM(A4582&amp;"")</f>
        <v/>
      </c>
      <c r="AA4582">
        <f>IF(Z4582="","",IF(MATCH(SUBSTITUTE(SUBSTITUTE(SUBSTITUTE(Z4582,"~","~~"),"*","~*"),"?","~?"),$Z$5:$Z$5004,0)=4578,MAX($AA$4:AA4581)+1,""))</f>
        <v/>
      </c>
    </row>
    <row r="4583" spans="1:27">
      <c r="A4583" s="9"/>
      <c r="Z4583">
        <f>TRIM(A4583&amp;"")</f>
        <v/>
      </c>
      <c r="AA4583">
        <f>IF(Z4583="","",IF(MATCH(SUBSTITUTE(SUBSTITUTE(SUBSTITUTE(Z4583,"~","~~"),"*","~*"),"?","~?"),$Z$5:$Z$5004,0)=4579,MAX($AA$4:AA4582)+1,""))</f>
        <v/>
      </c>
    </row>
    <row r="4584" spans="1:27">
      <c r="A4584" s="9"/>
      <c r="Z4584">
        <f>TRIM(A4584&amp;"")</f>
        <v/>
      </c>
      <c r="AA4584">
        <f>IF(Z4584="","",IF(MATCH(SUBSTITUTE(SUBSTITUTE(SUBSTITUTE(Z4584,"~","~~"),"*","~*"),"?","~?"),$Z$5:$Z$5004,0)=4580,MAX($AA$4:AA4583)+1,""))</f>
        <v/>
      </c>
    </row>
    <row r="4585" spans="1:27">
      <c r="A4585" s="9"/>
      <c r="Z4585">
        <f>TRIM(A4585&amp;"")</f>
        <v/>
      </c>
      <c r="AA4585">
        <f>IF(Z4585="","",IF(MATCH(SUBSTITUTE(SUBSTITUTE(SUBSTITUTE(Z4585,"~","~~"),"*","~*"),"?","~?"),$Z$5:$Z$5004,0)=4581,MAX($AA$4:AA4584)+1,""))</f>
        <v/>
      </c>
    </row>
    <row r="4586" spans="1:27">
      <c r="A4586" s="9"/>
      <c r="Z4586">
        <f>TRIM(A4586&amp;"")</f>
        <v/>
      </c>
      <c r="AA4586">
        <f>IF(Z4586="","",IF(MATCH(SUBSTITUTE(SUBSTITUTE(SUBSTITUTE(Z4586,"~","~~"),"*","~*"),"?","~?"),$Z$5:$Z$5004,0)=4582,MAX($AA$4:AA4585)+1,""))</f>
        <v/>
      </c>
    </row>
    <row r="4587" spans="1:27">
      <c r="A4587" s="9"/>
      <c r="Z4587">
        <f>TRIM(A4587&amp;"")</f>
        <v/>
      </c>
      <c r="AA4587">
        <f>IF(Z4587="","",IF(MATCH(SUBSTITUTE(SUBSTITUTE(SUBSTITUTE(Z4587,"~","~~"),"*","~*"),"?","~?"),$Z$5:$Z$5004,0)=4583,MAX($AA$4:AA4586)+1,""))</f>
        <v/>
      </c>
    </row>
    <row r="4588" spans="1:27">
      <c r="A4588" s="9"/>
      <c r="Z4588">
        <f>TRIM(A4588&amp;"")</f>
        <v/>
      </c>
      <c r="AA4588">
        <f>IF(Z4588="","",IF(MATCH(SUBSTITUTE(SUBSTITUTE(SUBSTITUTE(Z4588,"~","~~"),"*","~*"),"?","~?"),$Z$5:$Z$5004,0)=4584,MAX($AA$4:AA4587)+1,""))</f>
        <v/>
      </c>
    </row>
    <row r="4589" spans="1:27">
      <c r="A4589" s="9"/>
      <c r="Z4589">
        <f>TRIM(A4589&amp;"")</f>
        <v/>
      </c>
      <c r="AA4589">
        <f>IF(Z4589="","",IF(MATCH(SUBSTITUTE(SUBSTITUTE(SUBSTITUTE(Z4589,"~","~~"),"*","~*"),"?","~?"),$Z$5:$Z$5004,0)=4585,MAX($AA$4:AA4588)+1,""))</f>
        <v/>
      </c>
    </row>
    <row r="4590" spans="1:27">
      <c r="A4590" s="9"/>
      <c r="Z4590">
        <f>TRIM(A4590&amp;"")</f>
        <v/>
      </c>
      <c r="AA4590">
        <f>IF(Z4590="","",IF(MATCH(SUBSTITUTE(SUBSTITUTE(SUBSTITUTE(Z4590,"~","~~"),"*","~*"),"?","~?"),$Z$5:$Z$5004,0)=4586,MAX($AA$4:AA4589)+1,""))</f>
        <v/>
      </c>
    </row>
    <row r="4591" spans="1:27">
      <c r="A4591" s="9"/>
      <c r="Z4591">
        <f>TRIM(A4591&amp;"")</f>
        <v/>
      </c>
      <c r="AA4591">
        <f>IF(Z4591="","",IF(MATCH(SUBSTITUTE(SUBSTITUTE(SUBSTITUTE(Z4591,"~","~~"),"*","~*"),"?","~?"),$Z$5:$Z$5004,0)=4587,MAX($AA$4:AA4590)+1,""))</f>
        <v/>
      </c>
    </row>
    <row r="4592" spans="1:27">
      <c r="A4592" s="9"/>
      <c r="Z4592">
        <f>TRIM(A4592&amp;"")</f>
        <v/>
      </c>
      <c r="AA4592">
        <f>IF(Z4592="","",IF(MATCH(SUBSTITUTE(SUBSTITUTE(SUBSTITUTE(Z4592,"~","~~"),"*","~*"),"?","~?"),$Z$5:$Z$5004,0)=4588,MAX($AA$4:AA4591)+1,""))</f>
        <v/>
      </c>
    </row>
    <row r="4593" spans="1:27">
      <c r="A4593" s="9"/>
      <c r="Z4593">
        <f>TRIM(A4593&amp;"")</f>
        <v/>
      </c>
      <c r="AA4593">
        <f>IF(Z4593="","",IF(MATCH(SUBSTITUTE(SUBSTITUTE(SUBSTITUTE(Z4593,"~","~~"),"*","~*"),"?","~?"),$Z$5:$Z$5004,0)=4589,MAX($AA$4:AA4592)+1,""))</f>
        <v/>
      </c>
    </row>
    <row r="4594" spans="1:27">
      <c r="A4594" s="9"/>
      <c r="Z4594">
        <f>TRIM(A4594&amp;"")</f>
        <v/>
      </c>
      <c r="AA4594">
        <f>IF(Z4594="","",IF(MATCH(SUBSTITUTE(SUBSTITUTE(SUBSTITUTE(Z4594,"~","~~"),"*","~*"),"?","~?"),$Z$5:$Z$5004,0)=4590,MAX($AA$4:AA4593)+1,""))</f>
        <v/>
      </c>
    </row>
    <row r="4595" spans="1:27">
      <c r="A4595" s="9"/>
      <c r="Z4595">
        <f>TRIM(A4595&amp;"")</f>
        <v/>
      </c>
      <c r="AA4595">
        <f>IF(Z4595="","",IF(MATCH(SUBSTITUTE(SUBSTITUTE(SUBSTITUTE(Z4595,"~","~~"),"*","~*"),"?","~?"),$Z$5:$Z$5004,0)=4591,MAX($AA$4:AA4594)+1,""))</f>
        <v/>
      </c>
    </row>
    <row r="4596" spans="1:27">
      <c r="A4596" s="9"/>
      <c r="Z4596">
        <f>TRIM(A4596&amp;"")</f>
        <v/>
      </c>
      <c r="AA4596">
        <f>IF(Z4596="","",IF(MATCH(SUBSTITUTE(SUBSTITUTE(SUBSTITUTE(Z4596,"~","~~"),"*","~*"),"?","~?"),$Z$5:$Z$5004,0)=4592,MAX($AA$4:AA4595)+1,""))</f>
        <v/>
      </c>
    </row>
    <row r="4597" spans="1:27">
      <c r="A4597" s="9"/>
      <c r="Z4597">
        <f>TRIM(A4597&amp;"")</f>
        <v/>
      </c>
      <c r="AA4597">
        <f>IF(Z4597="","",IF(MATCH(SUBSTITUTE(SUBSTITUTE(SUBSTITUTE(Z4597,"~","~~"),"*","~*"),"?","~?"),$Z$5:$Z$5004,0)=4593,MAX($AA$4:AA4596)+1,""))</f>
        <v/>
      </c>
    </row>
    <row r="4598" spans="1:27">
      <c r="A4598" s="9"/>
      <c r="Z4598">
        <f>TRIM(A4598&amp;"")</f>
        <v/>
      </c>
      <c r="AA4598">
        <f>IF(Z4598="","",IF(MATCH(SUBSTITUTE(SUBSTITUTE(SUBSTITUTE(Z4598,"~","~~"),"*","~*"),"?","~?"),$Z$5:$Z$5004,0)=4594,MAX($AA$4:AA4597)+1,""))</f>
        <v/>
      </c>
    </row>
    <row r="4599" spans="1:27">
      <c r="A4599" s="9"/>
      <c r="Z4599">
        <f>TRIM(A4599&amp;"")</f>
        <v/>
      </c>
      <c r="AA4599">
        <f>IF(Z4599="","",IF(MATCH(SUBSTITUTE(SUBSTITUTE(SUBSTITUTE(Z4599,"~","~~"),"*","~*"),"?","~?"),$Z$5:$Z$5004,0)=4595,MAX($AA$4:AA4598)+1,""))</f>
        <v/>
      </c>
    </row>
    <row r="4600" spans="1:27">
      <c r="A4600" s="9"/>
      <c r="Z4600">
        <f>TRIM(A4600&amp;"")</f>
        <v/>
      </c>
      <c r="AA4600">
        <f>IF(Z4600="","",IF(MATCH(SUBSTITUTE(SUBSTITUTE(SUBSTITUTE(Z4600,"~","~~"),"*","~*"),"?","~?"),$Z$5:$Z$5004,0)=4596,MAX($AA$4:AA4599)+1,""))</f>
        <v/>
      </c>
    </row>
    <row r="4601" spans="1:27">
      <c r="A4601" s="9"/>
      <c r="Z4601">
        <f>TRIM(A4601&amp;"")</f>
        <v/>
      </c>
      <c r="AA4601">
        <f>IF(Z4601="","",IF(MATCH(SUBSTITUTE(SUBSTITUTE(SUBSTITUTE(Z4601,"~","~~"),"*","~*"),"?","~?"),$Z$5:$Z$5004,0)=4597,MAX($AA$4:AA4600)+1,""))</f>
        <v/>
      </c>
    </row>
    <row r="4602" spans="1:27">
      <c r="A4602" s="9"/>
      <c r="Z4602">
        <f>TRIM(A4602&amp;"")</f>
        <v/>
      </c>
      <c r="AA4602">
        <f>IF(Z4602="","",IF(MATCH(SUBSTITUTE(SUBSTITUTE(SUBSTITUTE(Z4602,"~","~~"),"*","~*"),"?","~?"),$Z$5:$Z$5004,0)=4598,MAX($AA$4:AA4601)+1,""))</f>
        <v/>
      </c>
    </row>
    <row r="4603" spans="1:27">
      <c r="A4603" s="9"/>
      <c r="Z4603">
        <f>TRIM(A4603&amp;"")</f>
        <v/>
      </c>
      <c r="AA4603">
        <f>IF(Z4603="","",IF(MATCH(SUBSTITUTE(SUBSTITUTE(SUBSTITUTE(Z4603,"~","~~"),"*","~*"),"?","~?"),$Z$5:$Z$5004,0)=4599,MAX($AA$4:AA4602)+1,""))</f>
        <v/>
      </c>
    </row>
    <row r="4604" spans="1:27">
      <c r="A4604" s="9"/>
      <c r="Z4604">
        <f>TRIM(A4604&amp;"")</f>
        <v/>
      </c>
      <c r="AA4604">
        <f>IF(Z4604="","",IF(MATCH(SUBSTITUTE(SUBSTITUTE(SUBSTITUTE(Z4604,"~","~~"),"*","~*"),"?","~?"),$Z$5:$Z$5004,0)=4600,MAX($AA$4:AA4603)+1,""))</f>
        <v/>
      </c>
    </row>
    <row r="4605" spans="1:27">
      <c r="A4605" s="9"/>
      <c r="Z4605">
        <f>TRIM(A4605&amp;"")</f>
        <v/>
      </c>
      <c r="AA4605">
        <f>IF(Z4605="","",IF(MATCH(SUBSTITUTE(SUBSTITUTE(SUBSTITUTE(Z4605,"~","~~"),"*","~*"),"?","~?"),$Z$5:$Z$5004,0)=4601,MAX($AA$4:AA4604)+1,""))</f>
        <v/>
      </c>
    </row>
    <row r="4606" spans="1:27">
      <c r="A4606" s="9"/>
      <c r="Z4606">
        <f>TRIM(A4606&amp;"")</f>
        <v/>
      </c>
      <c r="AA4606">
        <f>IF(Z4606="","",IF(MATCH(SUBSTITUTE(SUBSTITUTE(SUBSTITUTE(Z4606,"~","~~"),"*","~*"),"?","~?"),$Z$5:$Z$5004,0)=4602,MAX($AA$4:AA4605)+1,""))</f>
        <v/>
      </c>
    </row>
    <row r="4607" spans="1:27">
      <c r="A4607" s="9"/>
      <c r="Z4607">
        <f>TRIM(A4607&amp;"")</f>
        <v/>
      </c>
      <c r="AA4607">
        <f>IF(Z4607="","",IF(MATCH(SUBSTITUTE(SUBSTITUTE(SUBSTITUTE(Z4607,"~","~~"),"*","~*"),"?","~?"),$Z$5:$Z$5004,0)=4603,MAX($AA$4:AA4606)+1,""))</f>
        <v/>
      </c>
    </row>
    <row r="4608" spans="1:27">
      <c r="A4608" s="9"/>
      <c r="Z4608">
        <f>TRIM(A4608&amp;"")</f>
        <v/>
      </c>
      <c r="AA4608">
        <f>IF(Z4608="","",IF(MATCH(SUBSTITUTE(SUBSTITUTE(SUBSTITUTE(Z4608,"~","~~"),"*","~*"),"?","~?"),$Z$5:$Z$5004,0)=4604,MAX($AA$4:AA4607)+1,""))</f>
        <v/>
      </c>
    </row>
    <row r="4609" spans="1:27">
      <c r="A4609" s="9"/>
      <c r="Z4609">
        <f>TRIM(A4609&amp;"")</f>
        <v/>
      </c>
      <c r="AA4609">
        <f>IF(Z4609="","",IF(MATCH(SUBSTITUTE(SUBSTITUTE(SUBSTITUTE(Z4609,"~","~~"),"*","~*"),"?","~?"),$Z$5:$Z$5004,0)=4605,MAX($AA$4:AA4608)+1,""))</f>
        <v/>
      </c>
    </row>
    <row r="4610" spans="1:27">
      <c r="A4610" s="9"/>
      <c r="Z4610">
        <f>TRIM(A4610&amp;"")</f>
        <v/>
      </c>
      <c r="AA4610">
        <f>IF(Z4610="","",IF(MATCH(SUBSTITUTE(SUBSTITUTE(SUBSTITUTE(Z4610,"~","~~"),"*","~*"),"?","~?"),$Z$5:$Z$5004,0)=4606,MAX($AA$4:AA4609)+1,""))</f>
        <v/>
      </c>
    </row>
    <row r="4611" spans="1:27">
      <c r="A4611" s="9"/>
      <c r="Z4611">
        <f>TRIM(A4611&amp;"")</f>
        <v/>
      </c>
      <c r="AA4611">
        <f>IF(Z4611="","",IF(MATCH(SUBSTITUTE(SUBSTITUTE(SUBSTITUTE(Z4611,"~","~~"),"*","~*"),"?","~?"),$Z$5:$Z$5004,0)=4607,MAX($AA$4:AA4610)+1,""))</f>
        <v/>
      </c>
    </row>
    <row r="4612" spans="1:27">
      <c r="A4612" s="9"/>
      <c r="Z4612">
        <f>TRIM(A4612&amp;"")</f>
        <v/>
      </c>
      <c r="AA4612">
        <f>IF(Z4612="","",IF(MATCH(SUBSTITUTE(SUBSTITUTE(SUBSTITUTE(Z4612,"~","~~"),"*","~*"),"?","~?"),$Z$5:$Z$5004,0)=4608,MAX($AA$4:AA4611)+1,""))</f>
        <v/>
      </c>
    </row>
    <row r="4613" spans="1:27">
      <c r="A4613" s="9"/>
      <c r="Z4613">
        <f>TRIM(A4613&amp;"")</f>
        <v/>
      </c>
      <c r="AA4613">
        <f>IF(Z4613="","",IF(MATCH(SUBSTITUTE(SUBSTITUTE(SUBSTITUTE(Z4613,"~","~~"),"*","~*"),"?","~?"),$Z$5:$Z$5004,0)=4609,MAX($AA$4:AA4612)+1,""))</f>
        <v/>
      </c>
    </row>
    <row r="4614" spans="1:27">
      <c r="A4614" s="9"/>
      <c r="Z4614">
        <f>TRIM(A4614&amp;"")</f>
        <v/>
      </c>
      <c r="AA4614">
        <f>IF(Z4614="","",IF(MATCH(SUBSTITUTE(SUBSTITUTE(SUBSTITUTE(Z4614,"~","~~"),"*","~*"),"?","~?"),$Z$5:$Z$5004,0)=4610,MAX($AA$4:AA4613)+1,""))</f>
        <v/>
      </c>
    </row>
    <row r="4615" spans="1:27">
      <c r="A4615" s="9"/>
      <c r="Z4615">
        <f>TRIM(A4615&amp;"")</f>
        <v/>
      </c>
      <c r="AA4615">
        <f>IF(Z4615="","",IF(MATCH(SUBSTITUTE(SUBSTITUTE(SUBSTITUTE(Z4615,"~","~~"),"*","~*"),"?","~?"),$Z$5:$Z$5004,0)=4611,MAX($AA$4:AA4614)+1,""))</f>
        <v/>
      </c>
    </row>
    <row r="4616" spans="1:27">
      <c r="A4616" s="9"/>
      <c r="Z4616">
        <f>TRIM(A4616&amp;"")</f>
        <v/>
      </c>
      <c r="AA4616">
        <f>IF(Z4616="","",IF(MATCH(SUBSTITUTE(SUBSTITUTE(SUBSTITUTE(Z4616,"~","~~"),"*","~*"),"?","~?"),$Z$5:$Z$5004,0)=4612,MAX($AA$4:AA4615)+1,""))</f>
        <v/>
      </c>
    </row>
    <row r="4617" spans="1:27">
      <c r="A4617" s="9"/>
      <c r="Z4617">
        <f>TRIM(A4617&amp;"")</f>
        <v/>
      </c>
      <c r="AA4617">
        <f>IF(Z4617="","",IF(MATCH(SUBSTITUTE(SUBSTITUTE(SUBSTITUTE(Z4617,"~","~~"),"*","~*"),"?","~?"),$Z$5:$Z$5004,0)=4613,MAX($AA$4:AA4616)+1,""))</f>
        <v/>
      </c>
    </row>
    <row r="4618" spans="1:27">
      <c r="A4618" s="9"/>
      <c r="Z4618">
        <f>TRIM(A4618&amp;"")</f>
        <v/>
      </c>
      <c r="AA4618">
        <f>IF(Z4618="","",IF(MATCH(SUBSTITUTE(SUBSTITUTE(SUBSTITUTE(Z4618,"~","~~"),"*","~*"),"?","~?"),$Z$5:$Z$5004,0)=4614,MAX($AA$4:AA4617)+1,""))</f>
        <v/>
      </c>
    </row>
    <row r="4619" spans="1:27">
      <c r="A4619" s="9"/>
      <c r="Z4619">
        <f>TRIM(A4619&amp;"")</f>
        <v/>
      </c>
      <c r="AA4619">
        <f>IF(Z4619="","",IF(MATCH(SUBSTITUTE(SUBSTITUTE(SUBSTITUTE(Z4619,"~","~~"),"*","~*"),"?","~?"),$Z$5:$Z$5004,0)=4615,MAX($AA$4:AA4618)+1,""))</f>
        <v/>
      </c>
    </row>
    <row r="4620" spans="1:27">
      <c r="A4620" s="9"/>
      <c r="Z4620">
        <f>TRIM(A4620&amp;"")</f>
        <v/>
      </c>
      <c r="AA4620">
        <f>IF(Z4620="","",IF(MATCH(SUBSTITUTE(SUBSTITUTE(SUBSTITUTE(Z4620,"~","~~"),"*","~*"),"?","~?"),$Z$5:$Z$5004,0)=4616,MAX($AA$4:AA4619)+1,""))</f>
        <v/>
      </c>
    </row>
    <row r="4621" spans="1:27">
      <c r="A4621" s="9"/>
      <c r="Z4621">
        <f>TRIM(A4621&amp;"")</f>
        <v/>
      </c>
      <c r="AA4621">
        <f>IF(Z4621="","",IF(MATCH(SUBSTITUTE(SUBSTITUTE(SUBSTITUTE(Z4621,"~","~~"),"*","~*"),"?","~?"),$Z$5:$Z$5004,0)=4617,MAX($AA$4:AA4620)+1,""))</f>
        <v/>
      </c>
    </row>
    <row r="4622" spans="1:27">
      <c r="A4622" s="9"/>
      <c r="Z4622">
        <f>TRIM(A4622&amp;"")</f>
        <v/>
      </c>
      <c r="AA4622">
        <f>IF(Z4622="","",IF(MATCH(SUBSTITUTE(SUBSTITUTE(SUBSTITUTE(Z4622,"~","~~"),"*","~*"),"?","~?"),$Z$5:$Z$5004,0)=4618,MAX($AA$4:AA4621)+1,""))</f>
        <v/>
      </c>
    </row>
    <row r="4623" spans="1:27">
      <c r="A4623" s="9"/>
      <c r="Z4623">
        <f>TRIM(A4623&amp;"")</f>
        <v/>
      </c>
      <c r="AA4623">
        <f>IF(Z4623="","",IF(MATCH(SUBSTITUTE(SUBSTITUTE(SUBSTITUTE(Z4623,"~","~~"),"*","~*"),"?","~?"),$Z$5:$Z$5004,0)=4619,MAX($AA$4:AA4622)+1,""))</f>
        <v/>
      </c>
    </row>
    <row r="4624" spans="1:27">
      <c r="A4624" s="9"/>
      <c r="Z4624">
        <f>TRIM(A4624&amp;"")</f>
        <v/>
      </c>
      <c r="AA4624">
        <f>IF(Z4624="","",IF(MATCH(SUBSTITUTE(SUBSTITUTE(SUBSTITUTE(Z4624,"~","~~"),"*","~*"),"?","~?"),$Z$5:$Z$5004,0)=4620,MAX($AA$4:AA4623)+1,""))</f>
        <v/>
      </c>
    </row>
    <row r="4625" spans="1:27">
      <c r="A4625" s="9"/>
      <c r="Z4625">
        <f>TRIM(A4625&amp;"")</f>
        <v/>
      </c>
      <c r="AA4625">
        <f>IF(Z4625="","",IF(MATCH(SUBSTITUTE(SUBSTITUTE(SUBSTITUTE(Z4625,"~","~~"),"*","~*"),"?","~?"),$Z$5:$Z$5004,0)=4621,MAX($AA$4:AA4624)+1,""))</f>
        <v/>
      </c>
    </row>
    <row r="4626" spans="1:27">
      <c r="A4626" s="9"/>
      <c r="Z4626">
        <f>TRIM(A4626&amp;"")</f>
        <v/>
      </c>
      <c r="AA4626">
        <f>IF(Z4626="","",IF(MATCH(SUBSTITUTE(SUBSTITUTE(SUBSTITUTE(Z4626,"~","~~"),"*","~*"),"?","~?"),$Z$5:$Z$5004,0)=4622,MAX($AA$4:AA4625)+1,""))</f>
        <v/>
      </c>
    </row>
    <row r="4627" spans="1:27">
      <c r="A4627" s="9"/>
      <c r="Z4627">
        <f>TRIM(A4627&amp;"")</f>
        <v/>
      </c>
      <c r="AA4627">
        <f>IF(Z4627="","",IF(MATCH(SUBSTITUTE(SUBSTITUTE(SUBSTITUTE(Z4627,"~","~~"),"*","~*"),"?","~?"),$Z$5:$Z$5004,0)=4623,MAX($AA$4:AA4626)+1,""))</f>
        <v/>
      </c>
    </row>
    <row r="4628" spans="1:27">
      <c r="A4628" s="9"/>
      <c r="Z4628">
        <f>TRIM(A4628&amp;"")</f>
        <v/>
      </c>
      <c r="AA4628">
        <f>IF(Z4628="","",IF(MATCH(SUBSTITUTE(SUBSTITUTE(SUBSTITUTE(Z4628,"~","~~"),"*","~*"),"?","~?"),$Z$5:$Z$5004,0)=4624,MAX($AA$4:AA4627)+1,""))</f>
        <v/>
      </c>
    </row>
    <row r="4629" spans="1:27">
      <c r="A4629" s="9"/>
      <c r="Z4629">
        <f>TRIM(A4629&amp;"")</f>
        <v/>
      </c>
      <c r="AA4629">
        <f>IF(Z4629="","",IF(MATCH(SUBSTITUTE(SUBSTITUTE(SUBSTITUTE(Z4629,"~","~~"),"*","~*"),"?","~?"),$Z$5:$Z$5004,0)=4625,MAX($AA$4:AA4628)+1,""))</f>
        <v/>
      </c>
    </row>
    <row r="4630" spans="1:27">
      <c r="A4630" s="9"/>
      <c r="Z4630">
        <f>TRIM(A4630&amp;"")</f>
        <v/>
      </c>
      <c r="AA4630">
        <f>IF(Z4630="","",IF(MATCH(SUBSTITUTE(SUBSTITUTE(SUBSTITUTE(Z4630,"~","~~"),"*","~*"),"?","~?"),$Z$5:$Z$5004,0)=4626,MAX($AA$4:AA4629)+1,""))</f>
        <v/>
      </c>
    </row>
    <row r="4631" spans="1:27">
      <c r="A4631" s="9"/>
      <c r="Z4631">
        <f>TRIM(A4631&amp;"")</f>
        <v/>
      </c>
      <c r="AA4631">
        <f>IF(Z4631="","",IF(MATCH(SUBSTITUTE(SUBSTITUTE(SUBSTITUTE(Z4631,"~","~~"),"*","~*"),"?","~?"),$Z$5:$Z$5004,0)=4627,MAX($AA$4:AA4630)+1,""))</f>
        <v/>
      </c>
    </row>
    <row r="4632" spans="1:27">
      <c r="A4632" s="9"/>
      <c r="Z4632">
        <f>TRIM(A4632&amp;"")</f>
        <v/>
      </c>
      <c r="AA4632">
        <f>IF(Z4632="","",IF(MATCH(SUBSTITUTE(SUBSTITUTE(SUBSTITUTE(Z4632,"~","~~"),"*","~*"),"?","~?"),$Z$5:$Z$5004,0)=4628,MAX($AA$4:AA4631)+1,""))</f>
        <v/>
      </c>
    </row>
    <row r="4633" spans="1:27">
      <c r="A4633" s="9"/>
      <c r="Z4633">
        <f>TRIM(A4633&amp;"")</f>
        <v/>
      </c>
      <c r="AA4633">
        <f>IF(Z4633="","",IF(MATCH(SUBSTITUTE(SUBSTITUTE(SUBSTITUTE(Z4633,"~","~~"),"*","~*"),"?","~?"),$Z$5:$Z$5004,0)=4629,MAX($AA$4:AA4632)+1,""))</f>
        <v/>
      </c>
    </row>
    <row r="4634" spans="1:27">
      <c r="A4634" s="9"/>
      <c r="Z4634">
        <f>TRIM(A4634&amp;"")</f>
        <v/>
      </c>
      <c r="AA4634">
        <f>IF(Z4634="","",IF(MATCH(SUBSTITUTE(SUBSTITUTE(SUBSTITUTE(Z4634,"~","~~"),"*","~*"),"?","~?"),$Z$5:$Z$5004,0)=4630,MAX($AA$4:AA4633)+1,""))</f>
        <v/>
      </c>
    </row>
    <row r="4635" spans="1:27">
      <c r="A4635" s="9"/>
      <c r="Z4635">
        <f>TRIM(A4635&amp;"")</f>
        <v/>
      </c>
      <c r="AA4635">
        <f>IF(Z4635="","",IF(MATCH(SUBSTITUTE(SUBSTITUTE(SUBSTITUTE(Z4635,"~","~~"),"*","~*"),"?","~?"),$Z$5:$Z$5004,0)=4631,MAX($AA$4:AA4634)+1,""))</f>
        <v/>
      </c>
    </row>
    <row r="4636" spans="1:27">
      <c r="A4636" s="9"/>
      <c r="Z4636">
        <f>TRIM(A4636&amp;"")</f>
        <v/>
      </c>
      <c r="AA4636">
        <f>IF(Z4636="","",IF(MATCH(SUBSTITUTE(SUBSTITUTE(SUBSTITUTE(Z4636,"~","~~"),"*","~*"),"?","~?"),$Z$5:$Z$5004,0)=4632,MAX($AA$4:AA4635)+1,""))</f>
        <v/>
      </c>
    </row>
    <row r="4637" spans="1:27">
      <c r="A4637" s="9"/>
      <c r="Z4637">
        <f>TRIM(A4637&amp;"")</f>
        <v/>
      </c>
      <c r="AA4637">
        <f>IF(Z4637="","",IF(MATCH(SUBSTITUTE(SUBSTITUTE(SUBSTITUTE(Z4637,"~","~~"),"*","~*"),"?","~?"),$Z$5:$Z$5004,0)=4633,MAX($AA$4:AA4636)+1,""))</f>
        <v/>
      </c>
    </row>
    <row r="4638" spans="1:27">
      <c r="A4638" s="9"/>
      <c r="Z4638">
        <f>TRIM(A4638&amp;"")</f>
        <v/>
      </c>
      <c r="AA4638">
        <f>IF(Z4638="","",IF(MATCH(SUBSTITUTE(SUBSTITUTE(SUBSTITUTE(Z4638,"~","~~"),"*","~*"),"?","~?"),$Z$5:$Z$5004,0)=4634,MAX($AA$4:AA4637)+1,""))</f>
        <v/>
      </c>
    </row>
    <row r="4639" spans="1:27">
      <c r="A4639" s="9"/>
      <c r="Z4639">
        <f>TRIM(A4639&amp;"")</f>
        <v/>
      </c>
      <c r="AA4639">
        <f>IF(Z4639="","",IF(MATCH(SUBSTITUTE(SUBSTITUTE(SUBSTITUTE(Z4639,"~","~~"),"*","~*"),"?","~?"),$Z$5:$Z$5004,0)=4635,MAX($AA$4:AA4638)+1,""))</f>
        <v/>
      </c>
    </row>
    <row r="4640" spans="1:27">
      <c r="A4640" s="9"/>
      <c r="Z4640">
        <f>TRIM(A4640&amp;"")</f>
        <v/>
      </c>
      <c r="AA4640">
        <f>IF(Z4640="","",IF(MATCH(SUBSTITUTE(SUBSTITUTE(SUBSTITUTE(Z4640,"~","~~"),"*","~*"),"?","~?"),$Z$5:$Z$5004,0)=4636,MAX($AA$4:AA4639)+1,""))</f>
        <v/>
      </c>
    </row>
    <row r="4641" spans="1:27">
      <c r="A4641" s="9"/>
      <c r="Z4641">
        <f>TRIM(A4641&amp;"")</f>
        <v/>
      </c>
      <c r="AA4641">
        <f>IF(Z4641="","",IF(MATCH(SUBSTITUTE(SUBSTITUTE(SUBSTITUTE(Z4641,"~","~~"),"*","~*"),"?","~?"),$Z$5:$Z$5004,0)=4637,MAX($AA$4:AA4640)+1,""))</f>
        <v/>
      </c>
    </row>
    <row r="4642" spans="1:27">
      <c r="A4642" s="9"/>
      <c r="Z4642">
        <f>TRIM(A4642&amp;"")</f>
        <v/>
      </c>
      <c r="AA4642">
        <f>IF(Z4642="","",IF(MATCH(SUBSTITUTE(SUBSTITUTE(SUBSTITUTE(Z4642,"~","~~"),"*","~*"),"?","~?"),$Z$5:$Z$5004,0)=4638,MAX($AA$4:AA4641)+1,""))</f>
        <v/>
      </c>
    </row>
    <row r="4643" spans="1:27">
      <c r="A4643" s="9"/>
      <c r="Z4643">
        <f>TRIM(A4643&amp;"")</f>
        <v/>
      </c>
      <c r="AA4643">
        <f>IF(Z4643="","",IF(MATCH(SUBSTITUTE(SUBSTITUTE(SUBSTITUTE(Z4643,"~","~~"),"*","~*"),"?","~?"),$Z$5:$Z$5004,0)=4639,MAX($AA$4:AA4642)+1,""))</f>
        <v/>
      </c>
    </row>
    <row r="4644" spans="1:27">
      <c r="A4644" s="9"/>
      <c r="Z4644">
        <f>TRIM(A4644&amp;"")</f>
        <v/>
      </c>
      <c r="AA4644">
        <f>IF(Z4644="","",IF(MATCH(SUBSTITUTE(SUBSTITUTE(SUBSTITUTE(Z4644,"~","~~"),"*","~*"),"?","~?"),$Z$5:$Z$5004,0)=4640,MAX($AA$4:AA4643)+1,""))</f>
        <v/>
      </c>
    </row>
    <row r="4645" spans="1:27">
      <c r="A4645" s="9"/>
      <c r="Z4645">
        <f>TRIM(A4645&amp;"")</f>
        <v/>
      </c>
      <c r="AA4645">
        <f>IF(Z4645="","",IF(MATCH(SUBSTITUTE(SUBSTITUTE(SUBSTITUTE(Z4645,"~","~~"),"*","~*"),"?","~?"),$Z$5:$Z$5004,0)=4641,MAX($AA$4:AA4644)+1,""))</f>
        <v/>
      </c>
    </row>
    <row r="4646" spans="1:27">
      <c r="A4646" s="9"/>
      <c r="Z4646">
        <f>TRIM(A4646&amp;"")</f>
        <v/>
      </c>
      <c r="AA4646">
        <f>IF(Z4646="","",IF(MATCH(SUBSTITUTE(SUBSTITUTE(SUBSTITUTE(Z4646,"~","~~"),"*","~*"),"?","~?"),$Z$5:$Z$5004,0)=4642,MAX($AA$4:AA4645)+1,""))</f>
        <v/>
      </c>
    </row>
    <row r="4647" spans="1:27">
      <c r="A4647" s="9"/>
      <c r="Z4647">
        <f>TRIM(A4647&amp;"")</f>
        <v/>
      </c>
      <c r="AA4647">
        <f>IF(Z4647="","",IF(MATCH(SUBSTITUTE(SUBSTITUTE(SUBSTITUTE(Z4647,"~","~~"),"*","~*"),"?","~?"),$Z$5:$Z$5004,0)=4643,MAX($AA$4:AA4646)+1,""))</f>
        <v/>
      </c>
    </row>
    <row r="4648" spans="1:27">
      <c r="A4648" s="9"/>
      <c r="Z4648">
        <f>TRIM(A4648&amp;"")</f>
        <v/>
      </c>
      <c r="AA4648">
        <f>IF(Z4648="","",IF(MATCH(SUBSTITUTE(SUBSTITUTE(SUBSTITUTE(Z4648,"~","~~"),"*","~*"),"?","~?"),$Z$5:$Z$5004,0)=4644,MAX($AA$4:AA4647)+1,""))</f>
        <v/>
      </c>
    </row>
    <row r="4649" spans="1:27">
      <c r="A4649" s="9"/>
      <c r="Z4649">
        <f>TRIM(A4649&amp;"")</f>
        <v/>
      </c>
      <c r="AA4649">
        <f>IF(Z4649="","",IF(MATCH(SUBSTITUTE(SUBSTITUTE(SUBSTITUTE(Z4649,"~","~~"),"*","~*"),"?","~?"),$Z$5:$Z$5004,0)=4645,MAX($AA$4:AA4648)+1,""))</f>
        <v/>
      </c>
    </row>
    <row r="4650" spans="1:27">
      <c r="A4650" s="9"/>
      <c r="Z4650">
        <f>TRIM(A4650&amp;"")</f>
        <v/>
      </c>
      <c r="AA4650">
        <f>IF(Z4650="","",IF(MATCH(SUBSTITUTE(SUBSTITUTE(SUBSTITUTE(Z4650,"~","~~"),"*","~*"),"?","~?"),$Z$5:$Z$5004,0)=4646,MAX($AA$4:AA4649)+1,""))</f>
        <v/>
      </c>
    </row>
    <row r="4651" spans="1:27">
      <c r="A4651" s="9"/>
      <c r="Z4651">
        <f>TRIM(A4651&amp;"")</f>
        <v/>
      </c>
      <c r="AA4651">
        <f>IF(Z4651="","",IF(MATCH(SUBSTITUTE(SUBSTITUTE(SUBSTITUTE(Z4651,"~","~~"),"*","~*"),"?","~?"),$Z$5:$Z$5004,0)=4647,MAX($AA$4:AA4650)+1,""))</f>
        <v/>
      </c>
    </row>
    <row r="4652" spans="1:27">
      <c r="A4652" s="9"/>
      <c r="Z4652">
        <f>TRIM(A4652&amp;"")</f>
        <v/>
      </c>
      <c r="AA4652">
        <f>IF(Z4652="","",IF(MATCH(SUBSTITUTE(SUBSTITUTE(SUBSTITUTE(Z4652,"~","~~"),"*","~*"),"?","~?"),$Z$5:$Z$5004,0)=4648,MAX($AA$4:AA4651)+1,""))</f>
        <v/>
      </c>
    </row>
    <row r="4653" spans="1:27">
      <c r="A4653" s="9"/>
      <c r="Z4653">
        <f>TRIM(A4653&amp;"")</f>
        <v/>
      </c>
      <c r="AA4653">
        <f>IF(Z4653="","",IF(MATCH(SUBSTITUTE(SUBSTITUTE(SUBSTITUTE(Z4653,"~","~~"),"*","~*"),"?","~?"),$Z$5:$Z$5004,0)=4649,MAX($AA$4:AA4652)+1,""))</f>
        <v/>
      </c>
    </row>
    <row r="4654" spans="1:27">
      <c r="A4654" s="9"/>
      <c r="Z4654">
        <f>TRIM(A4654&amp;"")</f>
        <v/>
      </c>
      <c r="AA4654">
        <f>IF(Z4654="","",IF(MATCH(SUBSTITUTE(SUBSTITUTE(SUBSTITUTE(Z4654,"~","~~"),"*","~*"),"?","~?"),$Z$5:$Z$5004,0)=4650,MAX($AA$4:AA4653)+1,""))</f>
        <v/>
      </c>
    </row>
    <row r="4655" spans="1:27">
      <c r="A4655" s="9"/>
      <c r="Z4655">
        <f>TRIM(A4655&amp;"")</f>
        <v/>
      </c>
      <c r="AA4655">
        <f>IF(Z4655="","",IF(MATCH(SUBSTITUTE(SUBSTITUTE(SUBSTITUTE(Z4655,"~","~~"),"*","~*"),"?","~?"),$Z$5:$Z$5004,0)=4651,MAX($AA$4:AA4654)+1,""))</f>
        <v/>
      </c>
    </row>
    <row r="4656" spans="1:27">
      <c r="A4656" s="9"/>
      <c r="Z4656">
        <f>TRIM(A4656&amp;"")</f>
        <v/>
      </c>
      <c r="AA4656">
        <f>IF(Z4656="","",IF(MATCH(SUBSTITUTE(SUBSTITUTE(SUBSTITUTE(Z4656,"~","~~"),"*","~*"),"?","~?"),$Z$5:$Z$5004,0)=4652,MAX($AA$4:AA4655)+1,""))</f>
        <v/>
      </c>
    </row>
    <row r="4657" spans="1:27">
      <c r="A4657" s="9"/>
      <c r="Z4657">
        <f>TRIM(A4657&amp;"")</f>
        <v/>
      </c>
      <c r="AA4657">
        <f>IF(Z4657="","",IF(MATCH(SUBSTITUTE(SUBSTITUTE(SUBSTITUTE(Z4657,"~","~~"),"*","~*"),"?","~?"),$Z$5:$Z$5004,0)=4653,MAX($AA$4:AA4656)+1,""))</f>
        <v/>
      </c>
    </row>
    <row r="4658" spans="1:27">
      <c r="A4658" s="9"/>
      <c r="Z4658">
        <f>TRIM(A4658&amp;"")</f>
        <v/>
      </c>
      <c r="AA4658">
        <f>IF(Z4658="","",IF(MATCH(SUBSTITUTE(SUBSTITUTE(SUBSTITUTE(Z4658,"~","~~"),"*","~*"),"?","~?"),$Z$5:$Z$5004,0)=4654,MAX($AA$4:AA4657)+1,""))</f>
        <v/>
      </c>
    </row>
    <row r="4659" spans="1:27">
      <c r="A4659" s="9"/>
      <c r="Z4659">
        <f>TRIM(A4659&amp;"")</f>
        <v/>
      </c>
      <c r="AA4659">
        <f>IF(Z4659="","",IF(MATCH(SUBSTITUTE(SUBSTITUTE(SUBSTITUTE(Z4659,"~","~~"),"*","~*"),"?","~?"),$Z$5:$Z$5004,0)=4655,MAX($AA$4:AA4658)+1,""))</f>
        <v/>
      </c>
    </row>
    <row r="4660" spans="1:27">
      <c r="A4660" s="9"/>
      <c r="Z4660">
        <f>TRIM(A4660&amp;"")</f>
        <v/>
      </c>
      <c r="AA4660">
        <f>IF(Z4660="","",IF(MATCH(SUBSTITUTE(SUBSTITUTE(SUBSTITUTE(Z4660,"~","~~"),"*","~*"),"?","~?"),$Z$5:$Z$5004,0)=4656,MAX($AA$4:AA4659)+1,""))</f>
        <v/>
      </c>
    </row>
    <row r="4661" spans="1:27">
      <c r="A4661" s="9"/>
      <c r="Z4661">
        <f>TRIM(A4661&amp;"")</f>
        <v/>
      </c>
      <c r="AA4661">
        <f>IF(Z4661="","",IF(MATCH(SUBSTITUTE(SUBSTITUTE(SUBSTITUTE(Z4661,"~","~~"),"*","~*"),"?","~?"),$Z$5:$Z$5004,0)=4657,MAX($AA$4:AA4660)+1,""))</f>
        <v/>
      </c>
    </row>
    <row r="4662" spans="1:27">
      <c r="A4662" s="9"/>
      <c r="Z4662">
        <f>TRIM(A4662&amp;"")</f>
        <v/>
      </c>
      <c r="AA4662">
        <f>IF(Z4662="","",IF(MATCH(SUBSTITUTE(SUBSTITUTE(SUBSTITUTE(Z4662,"~","~~"),"*","~*"),"?","~?"),$Z$5:$Z$5004,0)=4658,MAX($AA$4:AA4661)+1,""))</f>
        <v/>
      </c>
    </row>
    <row r="4663" spans="1:27">
      <c r="A4663" s="9"/>
      <c r="Z4663">
        <f>TRIM(A4663&amp;"")</f>
        <v/>
      </c>
      <c r="AA4663">
        <f>IF(Z4663="","",IF(MATCH(SUBSTITUTE(SUBSTITUTE(SUBSTITUTE(Z4663,"~","~~"),"*","~*"),"?","~?"),$Z$5:$Z$5004,0)=4659,MAX($AA$4:AA4662)+1,""))</f>
        <v/>
      </c>
    </row>
    <row r="4664" spans="1:27">
      <c r="A4664" s="9"/>
      <c r="Z4664">
        <f>TRIM(A4664&amp;"")</f>
        <v/>
      </c>
      <c r="AA4664">
        <f>IF(Z4664="","",IF(MATCH(SUBSTITUTE(SUBSTITUTE(SUBSTITUTE(Z4664,"~","~~"),"*","~*"),"?","~?"),$Z$5:$Z$5004,0)=4660,MAX($AA$4:AA4663)+1,""))</f>
        <v/>
      </c>
    </row>
    <row r="4665" spans="1:27">
      <c r="A4665" s="9"/>
      <c r="Z4665">
        <f>TRIM(A4665&amp;"")</f>
        <v/>
      </c>
      <c r="AA4665">
        <f>IF(Z4665="","",IF(MATCH(SUBSTITUTE(SUBSTITUTE(SUBSTITUTE(Z4665,"~","~~"),"*","~*"),"?","~?"),$Z$5:$Z$5004,0)=4661,MAX($AA$4:AA4664)+1,""))</f>
        <v/>
      </c>
    </row>
    <row r="4666" spans="1:27">
      <c r="A4666" s="9"/>
      <c r="Z4666">
        <f>TRIM(A4666&amp;"")</f>
        <v/>
      </c>
      <c r="AA4666">
        <f>IF(Z4666="","",IF(MATCH(SUBSTITUTE(SUBSTITUTE(SUBSTITUTE(Z4666,"~","~~"),"*","~*"),"?","~?"),$Z$5:$Z$5004,0)=4662,MAX($AA$4:AA4665)+1,""))</f>
        <v/>
      </c>
    </row>
    <row r="4667" spans="1:27">
      <c r="A4667" s="9"/>
      <c r="Z4667">
        <f>TRIM(A4667&amp;"")</f>
        <v/>
      </c>
      <c r="AA4667">
        <f>IF(Z4667="","",IF(MATCH(SUBSTITUTE(SUBSTITUTE(SUBSTITUTE(Z4667,"~","~~"),"*","~*"),"?","~?"),$Z$5:$Z$5004,0)=4663,MAX($AA$4:AA4666)+1,""))</f>
        <v/>
      </c>
    </row>
    <row r="4668" spans="1:27">
      <c r="A4668" s="9"/>
      <c r="Z4668">
        <f>TRIM(A4668&amp;"")</f>
        <v/>
      </c>
      <c r="AA4668">
        <f>IF(Z4668="","",IF(MATCH(SUBSTITUTE(SUBSTITUTE(SUBSTITUTE(Z4668,"~","~~"),"*","~*"),"?","~?"),$Z$5:$Z$5004,0)=4664,MAX($AA$4:AA4667)+1,""))</f>
        <v/>
      </c>
    </row>
    <row r="4669" spans="1:27">
      <c r="A4669" s="9"/>
      <c r="Z4669">
        <f>TRIM(A4669&amp;"")</f>
        <v/>
      </c>
      <c r="AA4669">
        <f>IF(Z4669="","",IF(MATCH(SUBSTITUTE(SUBSTITUTE(SUBSTITUTE(Z4669,"~","~~"),"*","~*"),"?","~?"),$Z$5:$Z$5004,0)=4665,MAX($AA$4:AA4668)+1,""))</f>
        <v/>
      </c>
    </row>
    <row r="4670" spans="1:27">
      <c r="A4670" s="9"/>
      <c r="Z4670">
        <f>TRIM(A4670&amp;"")</f>
        <v/>
      </c>
      <c r="AA4670">
        <f>IF(Z4670="","",IF(MATCH(SUBSTITUTE(SUBSTITUTE(SUBSTITUTE(Z4670,"~","~~"),"*","~*"),"?","~?"),$Z$5:$Z$5004,0)=4666,MAX($AA$4:AA4669)+1,""))</f>
        <v/>
      </c>
    </row>
    <row r="4671" spans="1:27">
      <c r="A4671" s="9"/>
      <c r="Z4671">
        <f>TRIM(A4671&amp;"")</f>
        <v/>
      </c>
      <c r="AA4671">
        <f>IF(Z4671="","",IF(MATCH(SUBSTITUTE(SUBSTITUTE(SUBSTITUTE(Z4671,"~","~~"),"*","~*"),"?","~?"),$Z$5:$Z$5004,0)=4667,MAX($AA$4:AA4670)+1,""))</f>
        <v/>
      </c>
    </row>
    <row r="4672" spans="1:27">
      <c r="A4672" s="9"/>
      <c r="Z4672">
        <f>TRIM(A4672&amp;"")</f>
        <v/>
      </c>
      <c r="AA4672">
        <f>IF(Z4672="","",IF(MATCH(SUBSTITUTE(SUBSTITUTE(SUBSTITUTE(Z4672,"~","~~"),"*","~*"),"?","~?"),$Z$5:$Z$5004,0)=4668,MAX($AA$4:AA4671)+1,""))</f>
        <v/>
      </c>
    </row>
    <row r="4673" spans="1:27">
      <c r="A4673" s="9"/>
      <c r="Z4673">
        <f>TRIM(A4673&amp;"")</f>
        <v/>
      </c>
      <c r="AA4673">
        <f>IF(Z4673="","",IF(MATCH(SUBSTITUTE(SUBSTITUTE(SUBSTITUTE(Z4673,"~","~~"),"*","~*"),"?","~?"),$Z$5:$Z$5004,0)=4669,MAX($AA$4:AA4672)+1,""))</f>
        <v/>
      </c>
    </row>
    <row r="4674" spans="1:27">
      <c r="A4674" s="9"/>
      <c r="Z4674">
        <f>TRIM(A4674&amp;"")</f>
        <v/>
      </c>
      <c r="AA4674">
        <f>IF(Z4674="","",IF(MATCH(SUBSTITUTE(SUBSTITUTE(SUBSTITUTE(Z4674,"~","~~"),"*","~*"),"?","~?"),$Z$5:$Z$5004,0)=4670,MAX($AA$4:AA4673)+1,""))</f>
        <v/>
      </c>
    </row>
    <row r="4675" spans="1:27">
      <c r="A4675" s="9"/>
      <c r="Z4675">
        <f>TRIM(A4675&amp;"")</f>
        <v/>
      </c>
      <c r="AA4675">
        <f>IF(Z4675="","",IF(MATCH(SUBSTITUTE(SUBSTITUTE(SUBSTITUTE(Z4675,"~","~~"),"*","~*"),"?","~?"),$Z$5:$Z$5004,0)=4671,MAX($AA$4:AA4674)+1,""))</f>
        <v/>
      </c>
    </row>
    <row r="4676" spans="1:27">
      <c r="A4676" s="9"/>
      <c r="Z4676">
        <f>TRIM(A4676&amp;"")</f>
        <v/>
      </c>
      <c r="AA4676">
        <f>IF(Z4676="","",IF(MATCH(SUBSTITUTE(SUBSTITUTE(SUBSTITUTE(Z4676,"~","~~"),"*","~*"),"?","~?"),$Z$5:$Z$5004,0)=4672,MAX($AA$4:AA4675)+1,""))</f>
        <v/>
      </c>
    </row>
    <row r="4677" spans="1:27">
      <c r="A4677" s="9"/>
      <c r="Z4677">
        <f>TRIM(A4677&amp;"")</f>
        <v/>
      </c>
      <c r="AA4677">
        <f>IF(Z4677="","",IF(MATCH(SUBSTITUTE(SUBSTITUTE(SUBSTITUTE(Z4677,"~","~~"),"*","~*"),"?","~?"),$Z$5:$Z$5004,0)=4673,MAX($AA$4:AA4676)+1,""))</f>
        <v/>
      </c>
    </row>
    <row r="4678" spans="1:27">
      <c r="A4678" s="9"/>
      <c r="Z4678">
        <f>TRIM(A4678&amp;"")</f>
        <v/>
      </c>
      <c r="AA4678">
        <f>IF(Z4678="","",IF(MATCH(SUBSTITUTE(SUBSTITUTE(SUBSTITUTE(Z4678,"~","~~"),"*","~*"),"?","~?"),$Z$5:$Z$5004,0)=4674,MAX($AA$4:AA4677)+1,""))</f>
        <v/>
      </c>
    </row>
    <row r="4679" spans="1:27">
      <c r="A4679" s="9"/>
      <c r="Z4679">
        <f>TRIM(A4679&amp;"")</f>
        <v/>
      </c>
      <c r="AA4679">
        <f>IF(Z4679="","",IF(MATCH(SUBSTITUTE(SUBSTITUTE(SUBSTITUTE(Z4679,"~","~~"),"*","~*"),"?","~?"),$Z$5:$Z$5004,0)=4675,MAX($AA$4:AA4678)+1,""))</f>
        <v/>
      </c>
    </row>
    <row r="4680" spans="1:27">
      <c r="A4680" s="9"/>
      <c r="Z4680">
        <f>TRIM(A4680&amp;"")</f>
        <v/>
      </c>
      <c r="AA4680">
        <f>IF(Z4680="","",IF(MATCH(SUBSTITUTE(SUBSTITUTE(SUBSTITUTE(Z4680,"~","~~"),"*","~*"),"?","~?"),$Z$5:$Z$5004,0)=4676,MAX($AA$4:AA4679)+1,""))</f>
        <v/>
      </c>
    </row>
    <row r="4681" spans="1:27">
      <c r="A4681" s="9"/>
      <c r="Z4681">
        <f>TRIM(A4681&amp;"")</f>
        <v/>
      </c>
      <c r="AA4681">
        <f>IF(Z4681="","",IF(MATCH(SUBSTITUTE(SUBSTITUTE(SUBSTITUTE(Z4681,"~","~~"),"*","~*"),"?","~?"),$Z$5:$Z$5004,0)=4677,MAX($AA$4:AA4680)+1,""))</f>
        <v/>
      </c>
    </row>
    <row r="4682" spans="1:27">
      <c r="A4682" s="9"/>
      <c r="Z4682">
        <f>TRIM(A4682&amp;"")</f>
        <v/>
      </c>
      <c r="AA4682">
        <f>IF(Z4682="","",IF(MATCH(SUBSTITUTE(SUBSTITUTE(SUBSTITUTE(Z4682,"~","~~"),"*","~*"),"?","~?"),$Z$5:$Z$5004,0)=4678,MAX($AA$4:AA4681)+1,""))</f>
        <v/>
      </c>
    </row>
    <row r="4683" spans="1:27">
      <c r="A4683" s="9"/>
      <c r="Z4683">
        <f>TRIM(A4683&amp;"")</f>
        <v/>
      </c>
      <c r="AA4683">
        <f>IF(Z4683="","",IF(MATCH(SUBSTITUTE(SUBSTITUTE(SUBSTITUTE(Z4683,"~","~~"),"*","~*"),"?","~?"),$Z$5:$Z$5004,0)=4679,MAX($AA$4:AA4682)+1,""))</f>
        <v/>
      </c>
    </row>
    <row r="4684" spans="1:27">
      <c r="A4684" s="9"/>
      <c r="Z4684">
        <f>TRIM(A4684&amp;"")</f>
        <v/>
      </c>
      <c r="AA4684">
        <f>IF(Z4684="","",IF(MATCH(SUBSTITUTE(SUBSTITUTE(SUBSTITUTE(Z4684,"~","~~"),"*","~*"),"?","~?"),$Z$5:$Z$5004,0)=4680,MAX($AA$4:AA4683)+1,""))</f>
        <v/>
      </c>
    </row>
    <row r="4685" spans="1:27">
      <c r="A4685" s="9"/>
      <c r="Z4685">
        <f>TRIM(A4685&amp;"")</f>
        <v/>
      </c>
      <c r="AA4685">
        <f>IF(Z4685="","",IF(MATCH(SUBSTITUTE(SUBSTITUTE(SUBSTITUTE(Z4685,"~","~~"),"*","~*"),"?","~?"),$Z$5:$Z$5004,0)=4681,MAX($AA$4:AA4684)+1,""))</f>
        <v/>
      </c>
    </row>
    <row r="4686" spans="1:27">
      <c r="A4686" s="9"/>
      <c r="Z4686">
        <f>TRIM(A4686&amp;"")</f>
        <v/>
      </c>
      <c r="AA4686">
        <f>IF(Z4686="","",IF(MATCH(SUBSTITUTE(SUBSTITUTE(SUBSTITUTE(Z4686,"~","~~"),"*","~*"),"?","~?"),$Z$5:$Z$5004,0)=4682,MAX($AA$4:AA4685)+1,""))</f>
        <v/>
      </c>
    </row>
    <row r="4687" spans="1:27">
      <c r="A4687" s="9"/>
      <c r="Z4687">
        <f>TRIM(A4687&amp;"")</f>
        <v/>
      </c>
      <c r="AA4687">
        <f>IF(Z4687="","",IF(MATCH(SUBSTITUTE(SUBSTITUTE(SUBSTITUTE(Z4687,"~","~~"),"*","~*"),"?","~?"),$Z$5:$Z$5004,0)=4683,MAX($AA$4:AA4686)+1,""))</f>
        <v/>
      </c>
    </row>
    <row r="4688" spans="1:27">
      <c r="A4688" s="9"/>
      <c r="Z4688">
        <f>TRIM(A4688&amp;"")</f>
        <v/>
      </c>
      <c r="AA4688">
        <f>IF(Z4688="","",IF(MATCH(SUBSTITUTE(SUBSTITUTE(SUBSTITUTE(Z4688,"~","~~"),"*","~*"),"?","~?"),$Z$5:$Z$5004,0)=4684,MAX($AA$4:AA4687)+1,""))</f>
        <v/>
      </c>
    </row>
    <row r="4689" spans="1:27">
      <c r="A4689" s="9"/>
      <c r="Z4689">
        <f>TRIM(A4689&amp;"")</f>
        <v/>
      </c>
      <c r="AA4689">
        <f>IF(Z4689="","",IF(MATCH(SUBSTITUTE(SUBSTITUTE(SUBSTITUTE(Z4689,"~","~~"),"*","~*"),"?","~?"),$Z$5:$Z$5004,0)=4685,MAX($AA$4:AA4688)+1,""))</f>
        <v/>
      </c>
    </row>
    <row r="4690" spans="1:27">
      <c r="A4690" s="9"/>
      <c r="Z4690">
        <f>TRIM(A4690&amp;"")</f>
        <v/>
      </c>
      <c r="AA4690">
        <f>IF(Z4690="","",IF(MATCH(SUBSTITUTE(SUBSTITUTE(SUBSTITUTE(Z4690,"~","~~"),"*","~*"),"?","~?"),$Z$5:$Z$5004,0)=4686,MAX($AA$4:AA4689)+1,""))</f>
        <v/>
      </c>
    </row>
    <row r="4691" spans="1:27">
      <c r="A4691" s="9"/>
      <c r="Z4691">
        <f>TRIM(A4691&amp;"")</f>
        <v/>
      </c>
      <c r="AA4691">
        <f>IF(Z4691="","",IF(MATCH(SUBSTITUTE(SUBSTITUTE(SUBSTITUTE(Z4691,"~","~~"),"*","~*"),"?","~?"),$Z$5:$Z$5004,0)=4687,MAX($AA$4:AA4690)+1,""))</f>
        <v/>
      </c>
    </row>
    <row r="4692" spans="1:27">
      <c r="A4692" s="9"/>
      <c r="Z4692">
        <f>TRIM(A4692&amp;"")</f>
        <v/>
      </c>
      <c r="AA4692">
        <f>IF(Z4692="","",IF(MATCH(SUBSTITUTE(SUBSTITUTE(SUBSTITUTE(Z4692,"~","~~"),"*","~*"),"?","~?"),$Z$5:$Z$5004,0)=4688,MAX($AA$4:AA4691)+1,""))</f>
        <v/>
      </c>
    </row>
    <row r="4693" spans="1:27">
      <c r="A4693" s="9"/>
      <c r="Z4693">
        <f>TRIM(A4693&amp;"")</f>
        <v/>
      </c>
      <c r="AA4693">
        <f>IF(Z4693="","",IF(MATCH(SUBSTITUTE(SUBSTITUTE(SUBSTITUTE(Z4693,"~","~~"),"*","~*"),"?","~?"),$Z$5:$Z$5004,0)=4689,MAX($AA$4:AA4692)+1,""))</f>
        <v/>
      </c>
    </row>
    <row r="4694" spans="1:27">
      <c r="A4694" s="9"/>
      <c r="Z4694">
        <f>TRIM(A4694&amp;"")</f>
        <v/>
      </c>
      <c r="AA4694">
        <f>IF(Z4694="","",IF(MATCH(SUBSTITUTE(SUBSTITUTE(SUBSTITUTE(Z4694,"~","~~"),"*","~*"),"?","~?"),$Z$5:$Z$5004,0)=4690,MAX($AA$4:AA4693)+1,""))</f>
        <v/>
      </c>
    </row>
    <row r="4695" spans="1:27">
      <c r="A4695" s="9"/>
      <c r="Z4695">
        <f>TRIM(A4695&amp;"")</f>
        <v/>
      </c>
      <c r="AA4695">
        <f>IF(Z4695="","",IF(MATCH(SUBSTITUTE(SUBSTITUTE(SUBSTITUTE(Z4695,"~","~~"),"*","~*"),"?","~?"),$Z$5:$Z$5004,0)=4691,MAX($AA$4:AA4694)+1,""))</f>
        <v/>
      </c>
    </row>
    <row r="4696" spans="1:27">
      <c r="A4696" s="9"/>
      <c r="Z4696">
        <f>TRIM(A4696&amp;"")</f>
        <v/>
      </c>
      <c r="AA4696">
        <f>IF(Z4696="","",IF(MATCH(SUBSTITUTE(SUBSTITUTE(SUBSTITUTE(Z4696,"~","~~"),"*","~*"),"?","~?"),$Z$5:$Z$5004,0)=4692,MAX($AA$4:AA4695)+1,""))</f>
        <v/>
      </c>
    </row>
    <row r="4697" spans="1:27">
      <c r="A4697" s="9"/>
      <c r="Z4697">
        <f>TRIM(A4697&amp;"")</f>
        <v/>
      </c>
      <c r="AA4697">
        <f>IF(Z4697="","",IF(MATCH(SUBSTITUTE(SUBSTITUTE(SUBSTITUTE(Z4697,"~","~~"),"*","~*"),"?","~?"),$Z$5:$Z$5004,0)=4693,MAX($AA$4:AA4696)+1,""))</f>
        <v/>
      </c>
    </row>
    <row r="4698" spans="1:27">
      <c r="A4698" s="9"/>
      <c r="Z4698">
        <f>TRIM(A4698&amp;"")</f>
        <v/>
      </c>
      <c r="AA4698">
        <f>IF(Z4698="","",IF(MATCH(SUBSTITUTE(SUBSTITUTE(SUBSTITUTE(Z4698,"~","~~"),"*","~*"),"?","~?"),$Z$5:$Z$5004,0)=4694,MAX($AA$4:AA4697)+1,""))</f>
        <v/>
      </c>
    </row>
    <row r="4699" spans="1:27">
      <c r="A4699" s="9"/>
      <c r="Z4699">
        <f>TRIM(A4699&amp;"")</f>
        <v/>
      </c>
      <c r="AA4699">
        <f>IF(Z4699="","",IF(MATCH(SUBSTITUTE(SUBSTITUTE(SUBSTITUTE(Z4699,"~","~~"),"*","~*"),"?","~?"),$Z$5:$Z$5004,0)=4695,MAX($AA$4:AA4698)+1,""))</f>
        <v/>
      </c>
    </row>
    <row r="4700" spans="1:27">
      <c r="A4700" s="9"/>
      <c r="Z4700">
        <f>TRIM(A4700&amp;"")</f>
        <v/>
      </c>
      <c r="AA4700">
        <f>IF(Z4700="","",IF(MATCH(SUBSTITUTE(SUBSTITUTE(SUBSTITUTE(Z4700,"~","~~"),"*","~*"),"?","~?"),$Z$5:$Z$5004,0)=4696,MAX($AA$4:AA4699)+1,""))</f>
        <v/>
      </c>
    </row>
    <row r="4701" spans="1:27">
      <c r="A4701" s="9"/>
      <c r="Z4701">
        <f>TRIM(A4701&amp;"")</f>
        <v/>
      </c>
      <c r="AA4701">
        <f>IF(Z4701="","",IF(MATCH(SUBSTITUTE(SUBSTITUTE(SUBSTITUTE(Z4701,"~","~~"),"*","~*"),"?","~?"),$Z$5:$Z$5004,0)=4697,MAX($AA$4:AA4700)+1,""))</f>
        <v/>
      </c>
    </row>
    <row r="4702" spans="1:27">
      <c r="A4702" s="9"/>
      <c r="Z4702">
        <f>TRIM(A4702&amp;"")</f>
        <v/>
      </c>
      <c r="AA4702">
        <f>IF(Z4702="","",IF(MATCH(SUBSTITUTE(SUBSTITUTE(SUBSTITUTE(Z4702,"~","~~"),"*","~*"),"?","~?"),$Z$5:$Z$5004,0)=4698,MAX($AA$4:AA4701)+1,""))</f>
        <v/>
      </c>
    </row>
    <row r="4703" spans="1:27">
      <c r="A4703" s="9"/>
      <c r="Z4703">
        <f>TRIM(A4703&amp;"")</f>
        <v/>
      </c>
      <c r="AA4703">
        <f>IF(Z4703="","",IF(MATCH(SUBSTITUTE(SUBSTITUTE(SUBSTITUTE(Z4703,"~","~~"),"*","~*"),"?","~?"),$Z$5:$Z$5004,0)=4699,MAX($AA$4:AA4702)+1,""))</f>
        <v/>
      </c>
    </row>
    <row r="4704" spans="1:27">
      <c r="A4704" s="9"/>
      <c r="Z4704">
        <f>TRIM(A4704&amp;"")</f>
        <v/>
      </c>
      <c r="AA4704">
        <f>IF(Z4704="","",IF(MATCH(SUBSTITUTE(SUBSTITUTE(SUBSTITUTE(Z4704,"~","~~"),"*","~*"),"?","~?"),$Z$5:$Z$5004,0)=4700,MAX($AA$4:AA4703)+1,""))</f>
        <v/>
      </c>
    </row>
    <row r="4705" spans="1:27">
      <c r="A4705" s="9"/>
      <c r="Z4705">
        <f>TRIM(A4705&amp;"")</f>
        <v/>
      </c>
      <c r="AA4705">
        <f>IF(Z4705="","",IF(MATCH(SUBSTITUTE(SUBSTITUTE(SUBSTITUTE(Z4705,"~","~~"),"*","~*"),"?","~?"),$Z$5:$Z$5004,0)=4701,MAX($AA$4:AA4704)+1,""))</f>
        <v/>
      </c>
    </row>
    <row r="4706" spans="1:27">
      <c r="A4706" s="9"/>
      <c r="Z4706">
        <f>TRIM(A4706&amp;"")</f>
        <v/>
      </c>
      <c r="AA4706">
        <f>IF(Z4706="","",IF(MATCH(SUBSTITUTE(SUBSTITUTE(SUBSTITUTE(Z4706,"~","~~"),"*","~*"),"?","~?"),$Z$5:$Z$5004,0)=4702,MAX($AA$4:AA4705)+1,""))</f>
        <v/>
      </c>
    </row>
    <row r="4707" spans="1:27">
      <c r="A4707" s="9"/>
      <c r="Z4707">
        <f>TRIM(A4707&amp;"")</f>
        <v/>
      </c>
      <c r="AA4707">
        <f>IF(Z4707="","",IF(MATCH(SUBSTITUTE(SUBSTITUTE(SUBSTITUTE(Z4707,"~","~~"),"*","~*"),"?","~?"),$Z$5:$Z$5004,0)=4703,MAX($AA$4:AA4706)+1,""))</f>
        <v/>
      </c>
    </row>
    <row r="4708" spans="1:27">
      <c r="A4708" s="9"/>
      <c r="Z4708">
        <f>TRIM(A4708&amp;"")</f>
        <v/>
      </c>
      <c r="AA4708">
        <f>IF(Z4708="","",IF(MATCH(SUBSTITUTE(SUBSTITUTE(SUBSTITUTE(Z4708,"~","~~"),"*","~*"),"?","~?"),$Z$5:$Z$5004,0)=4704,MAX($AA$4:AA4707)+1,""))</f>
        <v/>
      </c>
    </row>
    <row r="4709" spans="1:27">
      <c r="A4709" s="9"/>
      <c r="Z4709">
        <f>TRIM(A4709&amp;"")</f>
        <v/>
      </c>
      <c r="AA4709">
        <f>IF(Z4709="","",IF(MATCH(SUBSTITUTE(SUBSTITUTE(SUBSTITUTE(Z4709,"~","~~"),"*","~*"),"?","~?"),$Z$5:$Z$5004,0)=4705,MAX($AA$4:AA4708)+1,""))</f>
        <v/>
      </c>
    </row>
    <row r="4710" spans="1:27">
      <c r="A4710" s="9"/>
      <c r="Z4710">
        <f>TRIM(A4710&amp;"")</f>
        <v/>
      </c>
      <c r="AA4710">
        <f>IF(Z4710="","",IF(MATCH(SUBSTITUTE(SUBSTITUTE(SUBSTITUTE(Z4710,"~","~~"),"*","~*"),"?","~?"),$Z$5:$Z$5004,0)=4706,MAX($AA$4:AA4709)+1,""))</f>
        <v/>
      </c>
    </row>
    <row r="4711" spans="1:27">
      <c r="A4711" s="9"/>
      <c r="Z4711">
        <f>TRIM(A4711&amp;"")</f>
        <v/>
      </c>
      <c r="AA4711">
        <f>IF(Z4711="","",IF(MATCH(SUBSTITUTE(SUBSTITUTE(SUBSTITUTE(Z4711,"~","~~"),"*","~*"),"?","~?"),$Z$5:$Z$5004,0)=4707,MAX($AA$4:AA4710)+1,""))</f>
        <v/>
      </c>
    </row>
    <row r="4712" spans="1:27">
      <c r="A4712" s="9"/>
      <c r="Z4712">
        <f>TRIM(A4712&amp;"")</f>
        <v/>
      </c>
      <c r="AA4712">
        <f>IF(Z4712="","",IF(MATCH(SUBSTITUTE(SUBSTITUTE(SUBSTITUTE(Z4712,"~","~~"),"*","~*"),"?","~?"),$Z$5:$Z$5004,0)=4708,MAX($AA$4:AA4711)+1,""))</f>
        <v/>
      </c>
    </row>
    <row r="4713" spans="1:27">
      <c r="A4713" s="9"/>
      <c r="Z4713">
        <f>TRIM(A4713&amp;"")</f>
        <v/>
      </c>
      <c r="AA4713">
        <f>IF(Z4713="","",IF(MATCH(SUBSTITUTE(SUBSTITUTE(SUBSTITUTE(Z4713,"~","~~"),"*","~*"),"?","~?"),$Z$5:$Z$5004,0)=4709,MAX($AA$4:AA4712)+1,""))</f>
        <v/>
      </c>
    </row>
    <row r="4714" spans="1:27">
      <c r="A4714" s="9"/>
      <c r="Z4714">
        <f>TRIM(A4714&amp;"")</f>
        <v/>
      </c>
      <c r="AA4714">
        <f>IF(Z4714="","",IF(MATCH(SUBSTITUTE(SUBSTITUTE(SUBSTITUTE(Z4714,"~","~~"),"*","~*"),"?","~?"),$Z$5:$Z$5004,0)=4710,MAX($AA$4:AA4713)+1,""))</f>
        <v/>
      </c>
    </row>
    <row r="4715" spans="1:27">
      <c r="A4715" s="9"/>
      <c r="Z4715">
        <f>TRIM(A4715&amp;"")</f>
        <v/>
      </c>
      <c r="AA4715">
        <f>IF(Z4715="","",IF(MATCH(SUBSTITUTE(SUBSTITUTE(SUBSTITUTE(Z4715,"~","~~"),"*","~*"),"?","~?"),$Z$5:$Z$5004,0)=4711,MAX($AA$4:AA4714)+1,""))</f>
        <v/>
      </c>
    </row>
    <row r="4716" spans="1:27">
      <c r="A4716" s="9"/>
      <c r="Z4716">
        <f>TRIM(A4716&amp;"")</f>
        <v/>
      </c>
      <c r="AA4716">
        <f>IF(Z4716="","",IF(MATCH(SUBSTITUTE(SUBSTITUTE(SUBSTITUTE(Z4716,"~","~~"),"*","~*"),"?","~?"),$Z$5:$Z$5004,0)=4712,MAX($AA$4:AA4715)+1,""))</f>
        <v/>
      </c>
    </row>
    <row r="4717" spans="1:27">
      <c r="A4717" s="9"/>
      <c r="Z4717">
        <f>TRIM(A4717&amp;"")</f>
        <v/>
      </c>
      <c r="AA4717">
        <f>IF(Z4717="","",IF(MATCH(SUBSTITUTE(SUBSTITUTE(SUBSTITUTE(Z4717,"~","~~"),"*","~*"),"?","~?"),$Z$5:$Z$5004,0)=4713,MAX($AA$4:AA4716)+1,""))</f>
        <v/>
      </c>
    </row>
    <row r="4718" spans="1:27">
      <c r="A4718" s="9"/>
      <c r="Z4718">
        <f>TRIM(A4718&amp;"")</f>
        <v/>
      </c>
      <c r="AA4718">
        <f>IF(Z4718="","",IF(MATCH(SUBSTITUTE(SUBSTITUTE(SUBSTITUTE(Z4718,"~","~~"),"*","~*"),"?","~?"),$Z$5:$Z$5004,0)=4714,MAX($AA$4:AA4717)+1,""))</f>
        <v/>
      </c>
    </row>
    <row r="4719" spans="1:27">
      <c r="A4719" s="9"/>
      <c r="Z4719">
        <f>TRIM(A4719&amp;"")</f>
        <v/>
      </c>
      <c r="AA4719">
        <f>IF(Z4719="","",IF(MATCH(SUBSTITUTE(SUBSTITUTE(SUBSTITUTE(Z4719,"~","~~"),"*","~*"),"?","~?"),$Z$5:$Z$5004,0)=4715,MAX($AA$4:AA4718)+1,""))</f>
        <v/>
      </c>
    </row>
    <row r="4720" spans="1:27">
      <c r="A4720" s="9"/>
      <c r="Z4720">
        <f>TRIM(A4720&amp;"")</f>
        <v/>
      </c>
      <c r="AA4720">
        <f>IF(Z4720="","",IF(MATCH(SUBSTITUTE(SUBSTITUTE(SUBSTITUTE(Z4720,"~","~~"),"*","~*"),"?","~?"),$Z$5:$Z$5004,0)=4716,MAX($AA$4:AA4719)+1,""))</f>
        <v/>
      </c>
    </row>
    <row r="4721" spans="1:27">
      <c r="A4721" s="9"/>
      <c r="Z4721">
        <f>TRIM(A4721&amp;"")</f>
        <v/>
      </c>
      <c r="AA4721">
        <f>IF(Z4721="","",IF(MATCH(SUBSTITUTE(SUBSTITUTE(SUBSTITUTE(Z4721,"~","~~"),"*","~*"),"?","~?"),$Z$5:$Z$5004,0)=4717,MAX($AA$4:AA4720)+1,""))</f>
        <v/>
      </c>
    </row>
    <row r="4722" spans="1:27">
      <c r="A4722" s="9"/>
      <c r="Z4722">
        <f>TRIM(A4722&amp;"")</f>
        <v/>
      </c>
      <c r="AA4722">
        <f>IF(Z4722="","",IF(MATCH(SUBSTITUTE(SUBSTITUTE(SUBSTITUTE(Z4722,"~","~~"),"*","~*"),"?","~?"),$Z$5:$Z$5004,0)=4718,MAX($AA$4:AA4721)+1,""))</f>
        <v/>
      </c>
    </row>
    <row r="4723" spans="1:27">
      <c r="A4723" s="9"/>
      <c r="Z4723">
        <f>TRIM(A4723&amp;"")</f>
        <v/>
      </c>
      <c r="AA4723">
        <f>IF(Z4723="","",IF(MATCH(SUBSTITUTE(SUBSTITUTE(SUBSTITUTE(Z4723,"~","~~"),"*","~*"),"?","~?"),$Z$5:$Z$5004,0)=4719,MAX($AA$4:AA4722)+1,""))</f>
        <v/>
      </c>
    </row>
    <row r="4724" spans="1:27">
      <c r="A4724" s="9"/>
      <c r="Z4724">
        <f>TRIM(A4724&amp;"")</f>
        <v/>
      </c>
      <c r="AA4724">
        <f>IF(Z4724="","",IF(MATCH(SUBSTITUTE(SUBSTITUTE(SUBSTITUTE(Z4724,"~","~~"),"*","~*"),"?","~?"),$Z$5:$Z$5004,0)=4720,MAX($AA$4:AA4723)+1,""))</f>
        <v/>
      </c>
    </row>
    <row r="4725" spans="1:27">
      <c r="A4725" s="9"/>
      <c r="Z4725">
        <f>TRIM(A4725&amp;"")</f>
        <v/>
      </c>
      <c r="AA4725">
        <f>IF(Z4725="","",IF(MATCH(SUBSTITUTE(SUBSTITUTE(SUBSTITUTE(Z4725,"~","~~"),"*","~*"),"?","~?"),$Z$5:$Z$5004,0)=4721,MAX($AA$4:AA4724)+1,""))</f>
        <v/>
      </c>
    </row>
    <row r="4726" spans="1:27">
      <c r="A4726" s="9"/>
      <c r="Z4726">
        <f>TRIM(A4726&amp;"")</f>
        <v/>
      </c>
      <c r="AA4726">
        <f>IF(Z4726="","",IF(MATCH(SUBSTITUTE(SUBSTITUTE(SUBSTITUTE(Z4726,"~","~~"),"*","~*"),"?","~?"),$Z$5:$Z$5004,0)=4722,MAX($AA$4:AA4725)+1,""))</f>
        <v/>
      </c>
    </row>
    <row r="4727" spans="1:27">
      <c r="A4727" s="9"/>
      <c r="Z4727">
        <f>TRIM(A4727&amp;"")</f>
        <v/>
      </c>
      <c r="AA4727">
        <f>IF(Z4727="","",IF(MATCH(SUBSTITUTE(SUBSTITUTE(SUBSTITUTE(Z4727,"~","~~"),"*","~*"),"?","~?"),$Z$5:$Z$5004,0)=4723,MAX($AA$4:AA4726)+1,""))</f>
        <v/>
      </c>
    </row>
    <row r="4728" spans="1:27">
      <c r="A4728" s="9"/>
      <c r="Z4728">
        <f>TRIM(A4728&amp;"")</f>
        <v/>
      </c>
      <c r="AA4728">
        <f>IF(Z4728="","",IF(MATCH(SUBSTITUTE(SUBSTITUTE(SUBSTITUTE(Z4728,"~","~~"),"*","~*"),"?","~?"),$Z$5:$Z$5004,0)=4724,MAX($AA$4:AA4727)+1,""))</f>
        <v/>
      </c>
    </row>
    <row r="4729" spans="1:27">
      <c r="A4729" s="9"/>
      <c r="Z4729">
        <f>TRIM(A4729&amp;"")</f>
        <v/>
      </c>
      <c r="AA4729">
        <f>IF(Z4729="","",IF(MATCH(SUBSTITUTE(SUBSTITUTE(SUBSTITUTE(Z4729,"~","~~"),"*","~*"),"?","~?"),$Z$5:$Z$5004,0)=4725,MAX($AA$4:AA4728)+1,""))</f>
        <v/>
      </c>
    </row>
    <row r="4730" spans="1:27">
      <c r="A4730" s="9"/>
      <c r="Z4730">
        <f>TRIM(A4730&amp;"")</f>
        <v/>
      </c>
      <c r="AA4730">
        <f>IF(Z4730="","",IF(MATCH(SUBSTITUTE(SUBSTITUTE(SUBSTITUTE(Z4730,"~","~~"),"*","~*"),"?","~?"),$Z$5:$Z$5004,0)=4726,MAX($AA$4:AA4729)+1,""))</f>
        <v/>
      </c>
    </row>
    <row r="4731" spans="1:27">
      <c r="A4731" s="9"/>
      <c r="Z4731">
        <f>TRIM(A4731&amp;"")</f>
        <v/>
      </c>
      <c r="AA4731">
        <f>IF(Z4731="","",IF(MATCH(SUBSTITUTE(SUBSTITUTE(SUBSTITUTE(Z4731,"~","~~"),"*","~*"),"?","~?"),$Z$5:$Z$5004,0)=4727,MAX($AA$4:AA4730)+1,""))</f>
        <v/>
      </c>
    </row>
    <row r="4732" spans="1:27">
      <c r="A4732" s="9"/>
      <c r="Z4732">
        <f>TRIM(A4732&amp;"")</f>
        <v/>
      </c>
      <c r="AA4732">
        <f>IF(Z4732="","",IF(MATCH(SUBSTITUTE(SUBSTITUTE(SUBSTITUTE(Z4732,"~","~~"),"*","~*"),"?","~?"),$Z$5:$Z$5004,0)=4728,MAX($AA$4:AA4731)+1,""))</f>
        <v/>
      </c>
    </row>
    <row r="4733" spans="1:27">
      <c r="A4733" s="9"/>
      <c r="Z4733">
        <f>TRIM(A4733&amp;"")</f>
        <v/>
      </c>
      <c r="AA4733">
        <f>IF(Z4733="","",IF(MATCH(SUBSTITUTE(SUBSTITUTE(SUBSTITUTE(Z4733,"~","~~"),"*","~*"),"?","~?"),$Z$5:$Z$5004,0)=4729,MAX($AA$4:AA4732)+1,""))</f>
        <v/>
      </c>
    </row>
    <row r="4734" spans="1:27">
      <c r="A4734" s="9"/>
      <c r="Z4734">
        <f>TRIM(A4734&amp;"")</f>
        <v/>
      </c>
      <c r="AA4734">
        <f>IF(Z4734="","",IF(MATCH(SUBSTITUTE(SUBSTITUTE(SUBSTITUTE(Z4734,"~","~~"),"*","~*"),"?","~?"),$Z$5:$Z$5004,0)=4730,MAX($AA$4:AA4733)+1,""))</f>
        <v/>
      </c>
    </row>
    <row r="4735" spans="1:27">
      <c r="A4735" s="9"/>
      <c r="Z4735">
        <f>TRIM(A4735&amp;"")</f>
        <v/>
      </c>
      <c r="AA4735">
        <f>IF(Z4735="","",IF(MATCH(SUBSTITUTE(SUBSTITUTE(SUBSTITUTE(Z4735,"~","~~"),"*","~*"),"?","~?"),$Z$5:$Z$5004,0)=4731,MAX($AA$4:AA4734)+1,""))</f>
        <v/>
      </c>
    </row>
    <row r="4736" spans="1:27">
      <c r="A4736" s="9"/>
      <c r="Z4736">
        <f>TRIM(A4736&amp;"")</f>
        <v/>
      </c>
      <c r="AA4736">
        <f>IF(Z4736="","",IF(MATCH(SUBSTITUTE(SUBSTITUTE(SUBSTITUTE(Z4736,"~","~~"),"*","~*"),"?","~?"),$Z$5:$Z$5004,0)=4732,MAX($AA$4:AA4735)+1,""))</f>
        <v/>
      </c>
    </row>
    <row r="4737" spans="1:27">
      <c r="A4737" s="9"/>
      <c r="Z4737">
        <f>TRIM(A4737&amp;"")</f>
        <v/>
      </c>
      <c r="AA4737">
        <f>IF(Z4737="","",IF(MATCH(SUBSTITUTE(SUBSTITUTE(SUBSTITUTE(Z4737,"~","~~"),"*","~*"),"?","~?"),$Z$5:$Z$5004,0)=4733,MAX($AA$4:AA4736)+1,""))</f>
        <v/>
      </c>
    </row>
    <row r="4738" spans="1:27">
      <c r="A4738" s="9"/>
      <c r="Z4738">
        <f>TRIM(A4738&amp;"")</f>
        <v/>
      </c>
      <c r="AA4738">
        <f>IF(Z4738="","",IF(MATCH(SUBSTITUTE(SUBSTITUTE(SUBSTITUTE(Z4738,"~","~~"),"*","~*"),"?","~?"),$Z$5:$Z$5004,0)=4734,MAX($AA$4:AA4737)+1,""))</f>
        <v/>
      </c>
    </row>
    <row r="4739" spans="1:27">
      <c r="A4739" s="9"/>
      <c r="Z4739">
        <f>TRIM(A4739&amp;"")</f>
        <v/>
      </c>
      <c r="AA4739">
        <f>IF(Z4739="","",IF(MATCH(SUBSTITUTE(SUBSTITUTE(SUBSTITUTE(Z4739,"~","~~"),"*","~*"),"?","~?"),$Z$5:$Z$5004,0)=4735,MAX($AA$4:AA4738)+1,""))</f>
        <v/>
      </c>
    </row>
    <row r="4740" spans="1:27">
      <c r="A4740" s="9"/>
      <c r="Z4740">
        <f>TRIM(A4740&amp;"")</f>
        <v/>
      </c>
      <c r="AA4740">
        <f>IF(Z4740="","",IF(MATCH(SUBSTITUTE(SUBSTITUTE(SUBSTITUTE(Z4740,"~","~~"),"*","~*"),"?","~?"),$Z$5:$Z$5004,0)=4736,MAX($AA$4:AA4739)+1,""))</f>
        <v/>
      </c>
    </row>
    <row r="4741" spans="1:27">
      <c r="A4741" s="9"/>
      <c r="Z4741">
        <f>TRIM(A4741&amp;"")</f>
        <v/>
      </c>
      <c r="AA4741">
        <f>IF(Z4741="","",IF(MATCH(SUBSTITUTE(SUBSTITUTE(SUBSTITUTE(Z4741,"~","~~"),"*","~*"),"?","~?"),$Z$5:$Z$5004,0)=4737,MAX($AA$4:AA4740)+1,""))</f>
        <v/>
      </c>
    </row>
    <row r="4742" spans="1:27">
      <c r="A4742" s="9"/>
      <c r="Z4742">
        <f>TRIM(A4742&amp;"")</f>
        <v/>
      </c>
      <c r="AA4742">
        <f>IF(Z4742="","",IF(MATCH(SUBSTITUTE(SUBSTITUTE(SUBSTITUTE(Z4742,"~","~~"),"*","~*"),"?","~?"),$Z$5:$Z$5004,0)=4738,MAX($AA$4:AA4741)+1,""))</f>
        <v/>
      </c>
    </row>
    <row r="4743" spans="1:27">
      <c r="A4743" s="9"/>
      <c r="Z4743">
        <f>TRIM(A4743&amp;"")</f>
        <v/>
      </c>
      <c r="AA4743">
        <f>IF(Z4743="","",IF(MATCH(SUBSTITUTE(SUBSTITUTE(SUBSTITUTE(Z4743,"~","~~"),"*","~*"),"?","~?"),$Z$5:$Z$5004,0)=4739,MAX($AA$4:AA4742)+1,""))</f>
        <v/>
      </c>
    </row>
    <row r="4744" spans="1:27">
      <c r="A4744" s="9"/>
      <c r="Z4744">
        <f>TRIM(A4744&amp;"")</f>
        <v/>
      </c>
      <c r="AA4744">
        <f>IF(Z4744="","",IF(MATCH(SUBSTITUTE(SUBSTITUTE(SUBSTITUTE(Z4744,"~","~~"),"*","~*"),"?","~?"),$Z$5:$Z$5004,0)=4740,MAX($AA$4:AA4743)+1,""))</f>
        <v/>
      </c>
    </row>
    <row r="4745" spans="1:27">
      <c r="A4745" s="9"/>
      <c r="Z4745">
        <f>TRIM(A4745&amp;"")</f>
        <v/>
      </c>
      <c r="AA4745">
        <f>IF(Z4745="","",IF(MATCH(SUBSTITUTE(SUBSTITUTE(SUBSTITUTE(Z4745,"~","~~"),"*","~*"),"?","~?"),$Z$5:$Z$5004,0)=4741,MAX($AA$4:AA4744)+1,""))</f>
        <v/>
      </c>
    </row>
    <row r="4746" spans="1:27">
      <c r="A4746" s="9"/>
      <c r="Z4746">
        <f>TRIM(A4746&amp;"")</f>
        <v/>
      </c>
      <c r="AA4746">
        <f>IF(Z4746="","",IF(MATCH(SUBSTITUTE(SUBSTITUTE(SUBSTITUTE(Z4746,"~","~~"),"*","~*"),"?","~?"),$Z$5:$Z$5004,0)=4742,MAX($AA$4:AA4745)+1,""))</f>
        <v/>
      </c>
    </row>
    <row r="4747" spans="1:27">
      <c r="A4747" s="9"/>
      <c r="Z4747">
        <f>TRIM(A4747&amp;"")</f>
        <v/>
      </c>
      <c r="AA4747">
        <f>IF(Z4747="","",IF(MATCH(SUBSTITUTE(SUBSTITUTE(SUBSTITUTE(Z4747,"~","~~"),"*","~*"),"?","~?"),$Z$5:$Z$5004,0)=4743,MAX($AA$4:AA4746)+1,""))</f>
        <v/>
      </c>
    </row>
    <row r="4748" spans="1:27">
      <c r="A4748" s="9"/>
      <c r="Z4748">
        <f>TRIM(A4748&amp;"")</f>
        <v/>
      </c>
      <c r="AA4748">
        <f>IF(Z4748="","",IF(MATCH(SUBSTITUTE(SUBSTITUTE(SUBSTITUTE(Z4748,"~","~~"),"*","~*"),"?","~?"),$Z$5:$Z$5004,0)=4744,MAX($AA$4:AA4747)+1,""))</f>
        <v/>
      </c>
    </row>
    <row r="4749" spans="1:27">
      <c r="A4749" s="9"/>
      <c r="Z4749">
        <f>TRIM(A4749&amp;"")</f>
        <v/>
      </c>
      <c r="AA4749">
        <f>IF(Z4749="","",IF(MATCH(SUBSTITUTE(SUBSTITUTE(SUBSTITUTE(Z4749,"~","~~"),"*","~*"),"?","~?"),$Z$5:$Z$5004,0)=4745,MAX($AA$4:AA4748)+1,""))</f>
        <v/>
      </c>
    </row>
    <row r="4750" spans="1:27">
      <c r="A4750" s="9"/>
      <c r="Z4750">
        <f>TRIM(A4750&amp;"")</f>
        <v/>
      </c>
      <c r="AA4750">
        <f>IF(Z4750="","",IF(MATCH(SUBSTITUTE(SUBSTITUTE(SUBSTITUTE(Z4750,"~","~~"),"*","~*"),"?","~?"),$Z$5:$Z$5004,0)=4746,MAX($AA$4:AA4749)+1,""))</f>
        <v/>
      </c>
    </row>
    <row r="4751" spans="1:27">
      <c r="A4751" s="9"/>
      <c r="Z4751">
        <f>TRIM(A4751&amp;"")</f>
        <v/>
      </c>
      <c r="AA4751">
        <f>IF(Z4751="","",IF(MATCH(SUBSTITUTE(SUBSTITUTE(SUBSTITUTE(Z4751,"~","~~"),"*","~*"),"?","~?"),$Z$5:$Z$5004,0)=4747,MAX($AA$4:AA4750)+1,""))</f>
        <v/>
      </c>
    </row>
    <row r="4752" spans="1:27">
      <c r="A4752" s="9"/>
      <c r="Z4752">
        <f>TRIM(A4752&amp;"")</f>
        <v/>
      </c>
      <c r="AA4752">
        <f>IF(Z4752="","",IF(MATCH(SUBSTITUTE(SUBSTITUTE(SUBSTITUTE(Z4752,"~","~~"),"*","~*"),"?","~?"),$Z$5:$Z$5004,0)=4748,MAX($AA$4:AA4751)+1,""))</f>
        <v/>
      </c>
    </row>
    <row r="4753" spans="1:27">
      <c r="A4753" s="9"/>
      <c r="Z4753">
        <f>TRIM(A4753&amp;"")</f>
        <v/>
      </c>
      <c r="AA4753">
        <f>IF(Z4753="","",IF(MATCH(SUBSTITUTE(SUBSTITUTE(SUBSTITUTE(Z4753,"~","~~"),"*","~*"),"?","~?"),$Z$5:$Z$5004,0)=4749,MAX($AA$4:AA4752)+1,""))</f>
        <v/>
      </c>
    </row>
    <row r="4754" spans="1:27">
      <c r="A4754" s="9"/>
      <c r="Z4754">
        <f>TRIM(A4754&amp;"")</f>
        <v/>
      </c>
      <c r="AA4754">
        <f>IF(Z4754="","",IF(MATCH(SUBSTITUTE(SUBSTITUTE(SUBSTITUTE(Z4754,"~","~~"),"*","~*"),"?","~?"),$Z$5:$Z$5004,0)=4750,MAX($AA$4:AA4753)+1,""))</f>
        <v/>
      </c>
    </row>
    <row r="4755" spans="1:27">
      <c r="A4755" s="9"/>
      <c r="Z4755">
        <f>TRIM(A4755&amp;"")</f>
        <v/>
      </c>
      <c r="AA4755">
        <f>IF(Z4755="","",IF(MATCH(SUBSTITUTE(SUBSTITUTE(SUBSTITUTE(Z4755,"~","~~"),"*","~*"),"?","~?"),$Z$5:$Z$5004,0)=4751,MAX($AA$4:AA4754)+1,""))</f>
        <v/>
      </c>
    </row>
    <row r="4756" spans="1:27">
      <c r="A4756" s="9"/>
      <c r="Z4756">
        <f>TRIM(A4756&amp;"")</f>
        <v/>
      </c>
      <c r="AA4756">
        <f>IF(Z4756="","",IF(MATCH(SUBSTITUTE(SUBSTITUTE(SUBSTITUTE(Z4756,"~","~~"),"*","~*"),"?","~?"),$Z$5:$Z$5004,0)=4752,MAX($AA$4:AA4755)+1,""))</f>
        <v/>
      </c>
    </row>
    <row r="4757" spans="1:27">
      <c r="A4757" s="9"/>
      <c r="Z4757">
        <f>TRIM(A4757&amp;"")</f>
        <v/>
      </c>
      <c r="AA4757">
        <f>IF(Z4757="","",IF(MATCH(SUBSTITUTE(SUBSTITUTE(SUBSTITUTE(Z4757,"~","~~"),"*","~*"),"?","~?"),$Z$5:$Z$5004,0)=4753,MAX($AA$4:AA4756)+1,""))</f>
        <v/>
      </c>
    </row>
    <row r="4758" spans="1:27">
      <c r="A4758" s="9"/>
      <c r="Z4758">
        <f>TRIM(A4758&amp;"")</f>
        <v/>
      </c>
      <c r="AA4758">
        <f>IF(Z4758="","",IF(MATCH(SUBSTITUTE(SUBSTITUTE(SUBSTITUTE(Z4758,"~","~~"),"*","~*"),"?","~?"),$Z$5:$Z$5004,0)=4754,MAX($AA$4:AA4757)+1,""))</f>
        <v/>
      </c>
    </row>
    <row r="4759" spans="1:27">
      <c r="A4759" s="9"/>
      <c r="Z4759">
        <f>TRIM(A4759&amp;"")</f>
        <v/>
      </c>
      <c r="AA4759">
        <f>IF(Z4759="","",IF(MATCH(SUBSTITUTE(SUBSTITUTE(SUBSTITUTE(Z4759,"~","~~"),"*","~*"),"?","~?"),$Z$5:$Z$5004,0)=4755,MAX($AA$4:AA4758)+1,""))</f>
        <v/>
      </c>
    </row>
    <row r="4760" spans="1:27">
      <c r="A4760" s="9"/>
      <c r="Z4760">
        <f>TRIM(A4760&amp;"")</f>
        <v/>
      </c>
      <c r="AA4760">
        <f>IF(Z4760="","",IF(MATCH(SUBSTITUTE(SUBSTITUTE(SUBSTITUTE(Z4760,"~","~~"),"*","~*"),"?","~?"),$Z$5:$Z$5004,0)=4756,MAX($AA$4:AA4759)+1,""))</f>
        <v/>
      </c>
    </row>
    <row r="4761" spans="1:27">
      <c r="A4761" s="9"/>
      <c r="Z4761">
        <f>TRIM(A4761&amp;"")</f>
        <v/>
      </c>
      <c r="AA4761">
        <f>IF(Z4761="","",IF(MATCH(SUBSTITUTE(SUBSTITUTE(SUBSTITUTE(Z4761,"~","~~"),"*","~*"),"?","~?"),$Z$5:$Z$5004,0)=4757,MAX($AA$4:AA4760)+1,""))</f>
        <v/>
      </c>
    </row>
    <row r="4762" spans="1:27">
      <c r="A4762" s="9"/>
      <c r="Z4762">
        <f>TRIM(A4762&amp;"")</f>
        <v/>
      </c>
      <c r="AA4762">
        <f>IF(Z4762="","",IF(MATCH(SUBSTITUTE(SUBSTITUTE(SUBSTITUTE(Z4762,"~","~~"),"*","~*"),"?","~?"),$Z$5:$Z$5004,0)=4758,MAX($AA$4:AA4761)+1,""))</f>
        <v/>
      </c>
    </row>
    <row r="4763" spans="1:27">
      <c r="A4763" s="9"/>
      <c r="Z4763">
        <f>TRIM(A4763&amp;"")</f>
        <v/>
      </c>
      <c r="AA4763">
        <f>IF(Z4763="","",IF(MATCH(SUBSTITUTE(SUBSTITUTE(SUBSTITUTE(Z4763,"~","~~"),"*","~*"),"?","~?"),$Z$5:$Z$5004,0)=4759,MAX($AA$4:AA4762)+1,""))</f>
        <v/>
      </c>
    </row>
    <row r="4764" spans="1:27">
      <c r="A4764" s="9"/>
      <c r="Z4764">
        <f>TRIM(A4764&amp;"")</f>
        <v/>
      </c>
      <c r="AA4764">
        <f>IF(Z4764="","",IF(MATCH(SUBSTITUTE(SUBSTITUTE(SUBSTITUTE(Z4764,"~","~~"),"*","~*"),"?","~?"),$Z$5:$Z$5004,0)=4760,MAX($AA$4:AA4763)+1,""))</f>
        <v/>
      </c>
    </row>
    <row r="4765" spans="1:27">
      <c r="A4765" s="9"/>
      <c r="Z4765">
        <f>TRIM(A4765&amp;"")</f>
        <v/>
      </c>
      <c r="AA4765">
        <f>IF(Z4765="","",IF(MATCH(SUBSTITUTE(SUBSTITUTE(SUBSTITUTE(Z4765,"~","~~"),"*","~*"),"?","~?"),$Z$5:$Z$5004,0)=4761,MAX($AA$4:AA4764)+1,""))</f>
        <v/>
      </c>
    </row>
    <row r="4766" spans="1:27">
      <c r="A4766" s="9"/>
      <c r="Z4766">
        <f>TRIM(A4766&amp;"")</f>
        <v/>
      </c>
      <c r="AA4766">
        <f>IF(Z4766="","",IF(MATCH(SUBSTITUTE(SUBSTITUTE(SUBSTITUTE(Z4766,"~","~~"),"*","~*"),"?","~?"),$Z$5:$Z$5004,0)=4762,MAX($AA$4:AA4765)+1,""))</f>
        <v/>
      </c>
    </row>
    <row r="4767" spans="1:27">
      <c r="A4767" s="9"/>
      <c r="Z4767">
        <f>TRIM(A4767&amp;"")</f>
        <v/>
      </c>
      <c r="AA4767">
        <f>IF(Z4767="","",IF(MATCH(SUBSTITUTE(SUBSTITUTE(SUBSTITUTE(Z4767,"~","~~"),"*","~*"),"?","~?"),$Z$5:$Z$5004,0)=4763,MAX($AA$4:AA4766)+1,""))</f>
        <v/>
      </c>
    </row>
    <row r="4768" spans="1:27">
      <c r="A4768" s="9"/>
      <c r="Z4768">
        <f>TRIM(A4768&amp;"")</f>
        <v/>
      </c>
      <c r="AA4768">
        <f>IF(Z4768="","",IF(MATCH(SUBSTITUTE(SUBSTITUTE(SUBSTITUTE(Z4768,"~","~~"),"*","~*"),"?","~?"),$Z$5:$Z$5004,0)=4764,MAX($AA$4:AA4767)+1,""))</f>
        <v/>
      </c>
    </row>
    <row r="4769" spans="1:27">
      <c r="A4769" s="9"/>
      <c r="Z4769">
        <f>TRIM(A4769&amp;"")</f>
        <v/>
      </c>
      <c r="AA4769">
        <f>IF(Z4769="","",IF(MATCH(SUBSTITUTE(SUBSTITUTE(SUBSTITUTE(Z4769,"~","~~"),"*","~*"),"?","~?"),$Z$5:$Z$5004,0)=4765,MAX($AA$4:AA4768)+1,""))</f>
        <v/>
      </c>
    </row>
    <row r="4770" spans="1:27">
      <c r="A4770" s="9"/>
      <c r="Z4770">
        <f>TRIM(A4770&amp;"")</f>
        <v/>
      </c>
      <c r="AA4770">
        <f>IF(Z4770="","",IF(MATCH(SUBSTITUTE(SUBSTITUTE(SUBSTITUTE(Z4770,"~","~~"),"*","~*"),"?","~?"),$Z$5:$Z$5004,0)=4766,MAX($AA$4:AA4769)+1,""))</f>
        <v/>
      </c>
    </row>
    <row r="4771" spans="1:27">
      <c r="A4771" s="9"/>
      <c r="Z4771">
        <f>TRIM(A4771&amp;"")</f>
        <v/>
      </c>
      <c r="AA4771">
        <f>IF(Z4771="","",IF(MATCH(SUBSTITUTE(SUBSTITUTE(SUBSTITUTE(Z4771,"~","~~"),"*","~*"),"?","~?"),$Z$5:$Z$5004,0)=4767,MAX($AA$4:AA4770)+1,""))</f>
        <v/>
      </c>
    </row>
    <row r="4772" spans="1:27">
      <c r="A4772" s="9"/>
      <c r="Z4772">
        <f>TRIM(A4772&amp;"")</f>
        <v/>
      </c>
      <c r="AA4772">
        <f>IF(Z4772="","",IF(MATCH(SUBSTITUTE(SUBSTITUTE(SUBSTITUTE(Z4772,"~","~~"),"*","~*"),"?","~?"),$Z$5:$Z$5004,0)=4768,MAX($AA$4:AA4771)+1,""))</f>
        <v/>
      </c>
    </row>
    <row r="4773" spans="1:27">
      <c r="A4773" s="9"/>
      <c r="Z4773">
        <f>TRIM(A4773&amp;"")</f>
        <v/>
      </c>
      <c r="AA4773">
        <f>IF(Z4773="","",IF(MATCH(SUBSTITUTE(SUBSTITUTE(SUBSTITUTE(Z4773,"~","~~"),"*","~*"),"?","~?"),$Z$5:$Z$5004,0)=4769,MAX($AA$4:AA4772)+1,""))</f>
        <v/>
      </c>
    </row>
    <row r="4774" spans="1:27">
      <c r="A4774" s="9"/>
      <c r="Z4774">
        <f>TRIM(A4774&amp;"")</f>
        <v/>
      </c>
      <c r="AA4774">
        <f>IF(Z4774="","",IF(MATCH(SUBSTITUTE(SUBSTITUTE(SUBSTITUTE(Z4774,"~","~~"),"*","~*"),"?","~?"),$Z$5:$Z$5004,0)=4770,MAX($AA$4:AA4773)+1,""))</f>
        <v/>
      </c>
    </row>
    <row r="4775" spans="1:27">
      <c r="A4775" s="9"/>
      <c r="Z4775">
        <f>TRIM(A4775&amp;"")</f>
        <v/>
      </c>
      <c r="AA4775">
        <f>IF(Z4775="","",IF(MATCH(SUBSTITUTE(SUBSTITUTE(SUBSTITUTE(Z4775,"~","~~"),"*","~*"),"?","~?"),$Z$5:$Z$5004,0)=4771,MAX($AA$4:AA4774)+1,""))</f>
        <v/>
      </c>
    </row>
    <row r="4776" spans="1:27">
      <c r="A4776" s="9"/>
      <c r="Z4776">
        <f>TRIM(A4776&amp;"")</f>
        <v/>
      </c>
      <c r="AA4776">
        <f>IF(Z4776="","",IF(MATCH(SUBSTITUTE(SUBSTITUTE(SUBSTITUTE(Z4776,"~","~~"),"*","~*"),"?","~?"),$Z$5:$Z$5004,0)=4772,MAX($AA$4:AA4775)+1,""))</f>
        <v/>
      </c>
    </row>
    <row r="4777" spans="1:27">
      <c r="A4777" s="9"/>
      <c r="Z4777">
        <f>TRIM(A4777&amp;"")</f>
        <v/>
      </c>
      <c r="AA4777">
        <f>IF(Z4777="","",IF(MATCH(SUBSTITUTE(SUBSTITUTE(SUBSTITUTE(Z4777,"~","~~"),"*","~*"),"?","~?"),$Z$5:$Z$5004,0)=4773,MAX($AA$4:AA4776)+1,""))</f>
        <v/>
      </c>
    </row>
    <row r="4778" spans="1:27">
      <c r="A4778" s="9"/>
      <c r="Z4778">
        <f>TRIM(A4778&amp;"")</f>
        <v/>
      </c>
      <c r="AA4778">
        <f>IF(Z4778="","",IF(MATCH(SUBSTITUTE(SUBSTITUTE(SUBSTITUTE(Z4778,"~","~~"),"*","~*"),"?","~?"),$Z$5:$Z$5004,0)=4774,MAX($AA$4:AA4777)+1,""))</f>
        <v/>
      </c>
    </row>
    <row r="4779" spans="1:27">
      <c r="A4779" s="9"/>
      <c r="Z4779">
        <f>TRIM(A4779&amp;"")</f>
        <v/>
      </c>
      <c r="AA4779">
        <f>IF(Z4779="","",IF(MATCH(SUBSTITUTE(SUBSTITUTE(SUBSTITUTE(Z4779,"~","~~"),"*","~*"),"?","~?"),$Z$5:$Z$5004,0)=4775,MAX($AA$4:AA4778)+1,""))</f>
        <v/>
      </c>
    </row>
    <row r="4780" spans="1:27">
      <c r="A4780" s="9"/>
      <c r="Z4780">
        <f>TRIM(A4780&amp;"")</f>
        <v/>
      </c>
      <c r="AA4780">
        <f>IF(Z4780="","",IF(MATCH(SUBSTITUTE(SUBSTITUTE(SUBSTITUTE(Z4780,"~","~~"),"*","~*"),"?","~?"),$Z$5:$Z$5004,0)=4776,MAX($AA$4:AA4779)+1,""))</f>
        <v/>
      </c>
    </row>
    <row r="4781" spans="1:27">
      <c r="A4781" s="9"/>
      <c r="Z4781">
        <f>TRIM(A4781&amp;"")</f>
        <v/>
      </c>
      <c r="AA4781">
        <f>IF(Z4781="","",IF(MATCH(SUBSTITUTE(SUBSTITUTE(SUBSTITUTE(Z4781,"~","~~"),"*","~*"),"?","~?"),$Z$5:$Z$5004,0)=4777,MAX($AA$4:AA4780)+1,""))</f>
        <v/>
      </c>
    </row>
    <row r="4782" spans="1:27">
      <c r="A4782" s="9"/>
      <c r="Z4782">
        <f>TRIM(A4782&amp;"")</f>
        <v/>
      </c>
      <c r="AA4782">
        <f>IF(Z4782="","",IF(MATCH(SUBSTITUTE(SUBSTITUTE(SUBSTITUTE(Z4782,"~","~~"),"*","~*"),"?","~?"),$Z$5:$Z$5004,0)=4778,MAX($AA$4:AA4781)+1,""))</f>
        <v/>
      </c>
    </row>
    <row r="4783" spans="1:27">
      <c r="A4783" s="9"/>
      <c r="Z4783">
        <f>TRIM(A4783&amp;"")</f>
        <v/>
      </c>
      <c r="AA4783">
        <f>IF(Z4783="","",IF(MATCH(SUBSTITUTE(SUBSTITUTE(SUBSTITUTE(Z4783,"~","~~"),"*","~*"),"?","~?"),$Z$5:$Z$5004,0)=4779,MAX($AA$4:AA4782)+1,""))</f>
        <v/>
      </c>
    </row>
    <row r="4784" spans="1:27">
      <c r="A4784" s="9"/>
      <c r="Z4784">
        <f>TRIM(A4784&amp;"")</f>
        <v/>
      </c>
      <c r="AA4784">
        <f>IF(Z4784="","",IF(MATCH(SUBSTITUTE(SUBSTITUTE(SUBSTITUTE(Z4784,"~","~~"),"*","~*"),"?","~?"),$Z$5:$Z$5004,0)=4780,MAX($AA$4:AA4783)+1,""))</f>
        <v/>
      </c>
    </row>
    <row r="4785" spans="1:27">
      <c r="A4785" s="9"/>
      <c r="Z4785">
        <f>TRIM(A4785&amp;"")</f>
        <v/>
      </c>
      <c r="AA4785">
        <f>IF(Z4785="","",IF(MATCH(SUBSTITUTE(SUBSTITUTE(SUBSTITUTE(Z4785,"~","~~"),"*","~*"),"?","~?"),$Z$5:$Z$5004,0)=4781,MAX($AA$4:AA4784)+1,""))</f>
        <v/>
      </c>
    </row>
    <row r="4786" spans="1:27">
      <c r="A4786" s="9"/>
      <c r="Z4786">
        <f>TRIM(A4786&amp;"")</f>
        <v/>
      </c>
      <c r="AA4786">
        <f>IF(Z4786="","",IF(MATCH(SUBSTITUTE(SUBSTITUTE(SUBSTITUTE(Z4786,"~","~~"),"*","~*"),"?","~?"),$Z$5:$Z$5004,0)=4782,MAX($AA$4:AA4785)+1,""))</f>
        <v/>
      </c>
    </row>
    <row r="4787" spans="1:27">
      <c r="A4787" s="9"/>
      <c r="Z4787">
        <f>TRIM(A4787&amp;"")</f>
        <v/>
      </c>
      <c r="AA4787">
        <f>IF(Z4787="","",IF(MATCH(SUBSTITUTE(SUBSTITUTE(SUBSTITUTE(Z4787,"~","~~"),"*","~*"),"?","~?"),$Z$5:$Z$5004,0)=4783,MAX($AA$4:AA4786)+1,""))</f>
        <v/>
      </c>
    </row>
    <row r="4788" spans="1:27">
      <c r="A4788" s="9"/>
      <c r="Z4788">
        <f>TRIM(A4788&amp;"")</f>
        <v/>
      </c>
      <c r="AA4788">
        <f>IF(Z4788="","",IF(MATCH(SUBSTITUTE(SUBSTITUTE(SUBSTITUTE(Z4788,"~","~~"),"*","~*"),"?","~?"),$Z$5:$Z$5004,0)=4784,MAX($AA$4:AA4787)+1,""))</f>
        <v/>
      </c>
    </row>
    <row r="4789" spans="1:27">
      <c r="A4789" s="9"/>
      <c r="Z4789">
        <f>TRIM(A4789&amp;"")</f>
        <v/>
      </c>
      <c r="AA4789">
        <f>IF(Z4789="","",IF(MATCH(SUBSTITUTE(SUBSTITUTE(SUBSTITUTE(Z4789,"~","~~"),"*","~*"),"?","~?"),$Z$5:$Z$5004,0)=4785,MAX($AA$4:AA4788)+1,""))</f>
        <v/>
      </c>
    </row>
    <row r="4790" spans="1:27">
      <c r="A4790" s="9"/>
      <c r="Z4790">
        <f>TRIM(A4790&amp;"")</f>
        <v/>
      </c>
      <c r="AA4790">
        <f>IF(Z4790="","",IF(MATCH(SUBSTITUTE(SUBSTITUTE(SUBSTITUTE(Z4790,"~","~~"),"*","~*"),"?","~?"),$Z$5:$Z$5004,0)=4786,MAX($AA$4:AA4789)+1,""))</f>
        <v/>
      </c>
    </row>
    <row r="4791" spans="1:27">
      <c r="A4791" s="9"/>
      <c r="Z4791">
        <f>TRIM(A4791&amp;"")</f>
        <v/>
      </c>
      <c r="AA4791">
        <f>IF(Z4791="","",IF(MATCH(SUBSTITUTE(SUBSTITUTE(SUBSTITUTE(Z4791,"~","~~"),"*","~*"),"?","~?"),$Z$5:$Z$5004,0)=4787,MAX($AA$4:AA4790)+1,""))</f>
        <v/>
      </c>
    </row>
    <row r="4792" spans="1:27">
      <c r="A4792" s="9"/>
      <c r="Z4792">
        <f>TRIM(A4792&amp;"")</f>
        <v/>
      </c>
      <c r="AA4792">
        <f>IF(Z4792="","",IF(MATCH(SUBSTITUTE(SUBSTITUTE(SUBSTITUTE(Z4792,"~","~~"),"*","~*"),"?","~?"),$Z$5:$Z$5004,0)=4788,MAX($AA$4:AA4791)+1,""))</f>
        <v/>
      </c>
    </row>
    <row r="4793" spans="1:27">
      <c r="A4793" s="9"/>
      <c r="Z4793">
        <f>TRIM(A4793&amp;"")</f>
        <v/>
      </c>
      <c r="AA4793">
        <f>IF(Z4793="","",IF(MATCH(SUBSTITUTE(SUBSTITUTE(SUBSTITUTE(Z4793,"~","~~"),"*","~*"),"?","~?"),$Z$5:$Z$5004,0)=4789,MAX($AA$4:AA4792)+1,""))</f>
        <v/>
      </c>
    </row>
    <row r="4794" spans="1:27">
      <c r="A4794" s="9"/>
      <c r="Z4794">
        <f>TRIM(A4794&amp;"")</f>
        <v/>
      </c>
      <c r="AA4794">
        <f>IF(Z4794="","",IF(MATCH(SUBSTITUTE(SUBSTITUTE(SUBSTITUTE(Z4794,"~","~~"),"*","~*"),"?","~?"),$Z$5:$Z$5004,0)=4790,MAX($AA$4:AA4793)+1,""))</f>
        <v/>
      </c>
    </row>
    <row r="4795" spans="1:27">
      <c r="A4795" s="9"/>
      <c r="Z4795">
        <f>TRIM(A4795&amp;"")</f>
        <v/>
      </c>
      <c r="AA4795">
        <f>IF(Z4795="","",IF(MATCH(SUBSTITUTE(SUBSTITUTE(SUBSTITUTE(Z4795,"~","~~"),"*","~*"),"?","~?"),$Z$5:$Z$5004,0)=4791,MAX($AA$4:AA4794)+1,""))</f>
        <v/>
      </c>
    </row>
    <row r="4796" spans="1:27">
      <c r="A4796" s="9"/>
      <c r="Z4796">
        <f>TRIM(A4796&amp;"")</f>
        <v/>
      </c>
      <c r="AA4796">
        <f>IF(Z4796="","",IF(MATCH(SUBSTITUTE(SUBSTITUTE(SUBSTITUTE(Z4796,"~","~~"),"*","~*"),"?","~?"),$Z$5:$Z$5004,0)=4792,MAX($AA$4:AA4795)+1,""))</f>
        <v/>
      </c>
    </row>
    <row r="4797" spans="1:27">
      <c r="A4797" s="9"/>
      <c r="Z4797">
        <f>TRIM(A4797&amp;"")</f>
        <v/>
      </c>
      <c r="AA4797">
        <f>IF(Z4797="","",IF(MATCH(SUBSTITUTE(SUBSTITUTE(SUBSTITUTE(Z4797,"~","~~"),"*","~*"),"?","~?"),$Z$5:$Z$5004,0)=4793,MAX($AA$4:AA4796)+1,""))</f>
        <v/>
      </c>
    </row>
    <row r="4798" spans="1:27">
      <c r="A4798" s="9"/>
      <c r="Z4798">
        <f>TRIM(A4798&amp;"")</f>
        <v/>
      </c>
      <c r="AA4798">
        <f>IF(Z4798="","",IF(MATCH(SUBSTITUTE(SUBSTITUTE(SUBSTITUTE(Z4798,"~","~~"),"*","~*"),"?","~?"),$Z$5:$Z$5004,0)=4794,MAX($AA$4:AA4797)+1,""))</f>
        <v/>
      </c>
    </row>
    <row r="4799" spans="1:27">
      <c r="A4799" s="9"/>
      <c r="Z4799">
        <f>TRIM(A4799&amp;"")</f>
        <v/>
      </c>
      <c r="AA4799">
        <f>IF(Z4799="","",IF(MATCH(SUBSTITUTE(SUBSTITUTE(SUBSTITUTE(Z4799,"~","~~"),"*","~*"),"?","~?"),$Z$5:$Z$5004,0)=4795,MAX($AA$4:AA4798)+1,""))</f>
        <v/>
      </c>
    </row>
    <row r="4800" spans="1:27">
      <c r="A4800" s="9"/>
      <c r="Z4800">
        <f>TRIM(A4800&amp;"")</f>
        <v/>
      </c>
      <c r="AA4800">
        <f>IF(Z4800="","",IF(MATCH(SUBSTITUTE(SUBSTITUTE(SUBSTITUTE(Z4800,"~","~~"),"*","~*"),"?","~?"),$Z$5:$Z$5004,0)=4796,MAX($AA$4:AA4799)+1,""))</f>
        <v/>
      </c>
    </row>
    <row r="4801" spans="1:27">
      <c r="A4801" s="9"/>
      <c r="Z4801">
        <f>TRIM(A4801&amp;"")</f>
        <v/>
      </c>
      <c r="AA4801">
        <f>IF(Z4801="","",IF(MATCH(SUBSTITUTE(SUBSTITUTE(SUBSTITUTE(Z4801,"~","~~"),"*","~*"),"?","~?"),$Z$5:$Z$5004,0)=4797,MAX($AA$4:AA4800)+1,""))</f>
        <v/>
      </c>
    </row>
    <row r="4802" spans="1:27">
      <c r="A4802" s="9"/>
      <c r="Z4802">
        <f>TRIM(A4802&amp;"")</f>
        <v/>
      </c>
      <c r="AA4802">
        <f>IF(Z4802="","",IF(MATCH(SUBSTITUTE(SUBSTITUTE(SUBSTITUTE(Z4802,"~","~~"),"*","~*"),"?","~?"),$Z$5:$Z$5004,0)=4798,MAX($AA$4:AA4801)+1,""))</f>
        <v/>
      </c>
    </row>
    <row r="4803" spans="1:27">
      <c r="A4803" s="9"/>
      <c r="Z4803">
        <f>TRIM(A4803&amp;"")</f>
        <v/>
      </c>
      <c r="AA4803">
        <f>IF(Z4803="","",IF(MATCH(SUBSTITUTE(SUBSTITUTE(SUBSTITUTE(Z4803,"~","~~"),"*","~*"),"?","~?"),$Z$5:$Z$5004,0)=4799,MAX($AA$4:AA4802)+1,""))</f>
        <v/>
      </c>
    </row>
    <row r="4804" spans="1:27">
      <c r="A4804" s="9"/>
      <c r="Z4804">
        <f>TRIM(A4804&amp;"")</f>
        <v/>
      </c>
      <c r="AA4804">
        <f>IF(Z4804="","",IF(MATCH(SUBSTITUTE(SUBSTITUTE(SUBSTITUTE(Z4804,"~","~~"),"*","~*"),"?","~?"),$Z$5:$Z$5004,0)=4800,MAX($AA$4:AA4803)+1,""))</f>
        <v/>
      </c>
    </row>
    <row r="4805" spans="1:27">
      <c r="A4805" s="9"/>
      <c r="Z4805">
        <f>TRIM(A4805&amp;"")</f>
        <v/>
      </c>
      <c r="AA4805">
        <f>IF(Z4805="","",IF(MATCH(SUBSTITUTE(SUBSTITUTE(SUBSTITUTE(Z4805,"~","~~"),"*","~*"),"?","~?"),$Z$5:$Z$5004,0)=4801,MAX($AA$4:AA4804)+1,""))</f>
        <v/>
      </c>
    </row>
    <row r="4806" spans="1:27">
      <c r="A4806" s="9"/>
      <c r="Z4806">
        <f>TRIM(A4806&amp;"")</f>
        <v/>
      </c>
      <c r="AA4806">
        <f>IF(Z4806="","",IF(MATCH(SUBSTITUTE(SUBSTITUTE(SUBSTITUTE(Z4806,"~","~~"),"*","~*"),"?","~?"),$Z$5:$Z$5004,0)=4802,MAX($AA$4:AA4805)+1,""))</f>
        <v/>
      </c>
    </row>
    <row r="4807" spans="1:27">
      <c r="A4807" s="9"/>
      <c r="Z4807">
        <f>TRIM(A4807&amp;"")</f>
        <v/>
      </c>
      <c r="AA4807">
        <f>IF(Z4807="","",IF(MATCH(SUBSTITUTE(SUBSTITUTE(SUBSTITUTE(Z4807,"~","~~"),"*","~*"),"?","~?"),$Z$5:$Z$5004,0)=4803,MAX($AA$4:AA4806)+1,""))</f>
        <v/>
      </c>
    </row>
    <row r="4808" spans="1:27">
      <c r="A4808" s="9"/>
      <c r="Z4808">
        <f>TRIM(A4808&amp;"")</f>
        <v/>
      </c>
      <c r="AA4808">
        <f>IF(Z4808="","",IF(MATCH(SUBSTITUTE(SUBSTITUTE(SUBSTITUTE(Z4808,"~","~~"),"*","~*"),"?","~?"),$Z$5:$Z$5004,0)=4804,MAX($AA$4:AA4807)+1,""))</f>
        <v/>
      </c>
    </row>
    <row r="4809" spans="1:27">
      <c r="A4809" s="9"/>
      <c r="Z4809">
        <f>TRIM(A4809&amp;"")</f>
        <v/>
      </c>
      <c r="AA4809">
        <f>IF(Z4809="","",IF(MATCH(SUBSTITUTE(SUBSTITUTE(SUBSTITUTE(Z4809,"~","~~"),"*","~*"),"?","~?"),$Z$5:$Z$5004,0)=4805,MAX($AA$4:AA4808)+1,""))</f>
        <v/>
      </c>
    </row>
    <row r="4810" spans="1:27">
      <c r="A4810" s="9"/>
      <c r="Z4810">
        <f>TRIM(A4810&amp;"")</f>
        <v/>
      </c>
      <c r="AA4810">
        <f>IF(Z4810="","",IF(MATCH(SUBSTITUTE(SUBSTITUTE(SUBSTITUTE(Z4810,"~","~~"),"*","~*"),"?","~?"),$Z$5:$Z$5004,0)=4806,MAX($AA$4:AA4809)+1,""))</f>
        <v/>
      </c>
    </row>
    <row r="4811" spans="1:27">
      <c r="A4811" s="9"/>
      <c r="Z4811">
        <f>TRIM(A4811&amp;"")</f>
        <v/>
      </c>
      <c r="AA4811">
        <f>IF(Z4811="","",IF(MATCH(SUBSTITUTE(SUBSTITUTE(SUBSTITUTE(Z4811,"~","~~"),"*","~*"),"?","~?"),$Z$5:$Z$5004,0)=4807,MAX($AA$4:AA4810)+1,""))</f>
        <v/>
      </c>
    </row>
    <row r="4812" spans="1:27">
      <c r="A4812" s="9"/>
      <c r="Z4812">
        <f>TRIM(A4812&amp;"")</f>
        <v/>
      </c>
      <c r="AA4812">
        <f>IF(Z4812="","",IF(MATCH(SUBSTITUTE(SUBSTITUTE(SUBSTITUTE(Z4812,"~","~~"),"*","~*"),"?","~?"),$Z$5:$Z$5004,0)=4808,MAX($AA$4:AA4811)+1,""))</f>
        <v/>
      </c>
    </row>
    <row r="4813" spans="1:27">
      <c r="A4813" s="9"/>
      <c r="Z4813">
        <f>TRIM(A4813&amp;"")</f>
        <v/>
      </c>
      <c r="AA4813">
        <f>IF(Z4813="","",IF(MATCH(SUBSTITUTE(SUBSTITUTE(SUBSTITUTE(Z4813,"~","~~"),"*","~*"),"?","~?"),$Z$5:$Z$5004,0)=4809,MAX($AA$4:AA4812)+1,""))</f>
        <v/>
      </c>
    </row>
    <row r="4814" spans="1:27">
      <c r="A4814" s="9"/>
      <c r="Z4814">
        <f>TRIM(A4814&amp;"")</f>
        <v/>
      </c>
      <c r="AA4814">
        <f>IF(Z4814="","",IF(MATCH(SUBSTITUTE(SUBSTITUTE(SUBSTITUTE(Z4814,"~","~~"),"*","~*"),"?","~?"),$Z$5:$Z$5004,0)=4810,MAX($AA$4:AA4813)+1,""))</f>
        <v/>
      </c>
    </row>
    <row r="4815" spans="1:27">
      <c r="A4815" s="9"/>
      <c r="Z4815">
        <f>TRIM(A4815&amp;"")</f>
        <v/>
      </c>
      <c r="AA4815">
        <f>IF(Z4815="","",IF(MATCH(SUBSTITUTE(SUBSTITUTE(SUBSTITUTE(Z4815,"~","~~"),"*","~*"),"?","~?"),$Z$5:$Z$5004,0)=4811,MAX($AA$4:AA4814)+1,""))</f>
        <v/>
      </c>
    </row>
    <row r="4816" spans="1:27">
      <c r="A4816" s="9"/>
      <c r="Z4816">
        <f>TRIM(A4816&amp;"")</f>
        <v/>
      </c>
      <c r="AA4816">
        <f>IF(Z4816="","",IF(MATCH(SUBSTITUTE(SUBSTITUTE(SUBSTITUTE(Z4816,"~","~~"),"*","~*"),"?","~?"),$Z$5:$Z$5004,0)=4812,MAX($AA$4:AA4815)+1,""))</f>
        <v/>
      </c>
    </row>
    <row r="4817" spans="1:27">
      <c r="A4817" s="9"/>
      <c r="Z4817">
        <f>TRIM(A4817&amp;"")</f>
        <v/>
      </c>
      <c r="AA4817">
        <f>IF(Z4817="","",IF(MATCH(SUBSTITUTE(SUBSTITUTE(SUBSTITUTE(Z4817,"~","~~"),"*","~*"),"?","~?"),$Z$5:$Z$5004,0)=4813,MAX($AA$4:AA4816)+1,""))</f>
        <v/>
      </c>
    </row>
    <row r="4818" spans="1:27">
      <c r="A4818" s="9"/>
      <c r="Z4818">
        <f>TRIM(A4818&amp;"")</f>
        <v/>
      </c>
      <c r="AA4818">
        <f>IF(Z4818="","",IF(MATCH(SUBSTITUTE(SUBSTITUTE(SUBSTITUTE(Z4818,"~","~~"),"*","~*"),"?","~?"),$Z$5:$Z$5004,0)=4814,MAX($AA$4:AA4817)+1,""))</f>
        <v/>
      </c>
    </row>
    <row r="4819" spans="1:27">
      <c r="A4819" s="9"/>
      <c r="Z4819">
        <f>TRIM(A4819&amp;"")</f>
        <v/>
      </c>
      <c r="AA4819">
        <f>IF(Z4819="","",IF(MATCH(SUBSTITUTE(SUBSTITUTE(SUBSTITUTE(Z4819,"~","~~"),"*","~*"),"?","~?"),$Z$5:$Z$5004,0)=4815,MAX($AA$4:AA4818)+1,""))</f>
        <v/>
      </c>
    </row>
    <row r="4820" spans="1:27">
      <c r="A4820" s="9"/>
      <c r="Z4820">
        <f>TRIM(A4820&amp;"")</f>
        <v/>
      </c>
      <c r="AA4820">
        <f>IF(Z4820="","",IF(MATCH(SUBSTITUTE(SUBSTITUTE(SUBSTITUTE(Z4820,"~","~~"),"*","~*"),"?","~?"),$Z$5:$Z$5004,0)=4816,MAX($AA$4:AA4819)+1,""))</f>
        <v/>
      </c>
    </row>
    <row r="4821" spans="1:27">
      <c r="A4821" s="9"/>
      <c r="Z4821">
        <f>TRIM(A4821&amp;"")</f>
        <v/>
      </c>
      <c r="AA4821">
        <f>IF(Z4821="","",IF(MATCH(SUBSTITUTE(SUBSTITUTE(SUBSTITUTE(Z4821,"~","~~"),"*","~*"),"?","~?"),$Z$5:$Z$5004,0)=4817,MAX($AA$4:AA4820)+1,""))</f>
        <v/>
      </c>
    </row>
    <row r="4822" spans="1:27">
      <c r="A4822" s="9"/>
      <c r="Z4822">
        <f>TRIM(A4822&amp;"")</f>
        <v/>
      </c>
      <c r="AA4822">
        <f>IF(Z4822="","",IF(MATCH(SUBSTITUTE(SUBSTITUTE(SUBSTITUTE(Z4822,"~","~~"),"*","~*"),"?","~?"),$Z$5:$Z$5004,0)=4818,MAX($AA$4:AA4821)+1,""))</f>
        <v/>
      </c>
    </row>
    <row r="4823" spans="1:27">
      <c r="A4823" s="9"/>
      <c r="Z4823">
        <f>TRIM(A4823&amp;"")</f>
        <v/>
      </c>
      <c r="AA4823">
        <f>IF(Z4823="","",IF(MATCH(SUBSTITUTE(SUBSTITUTE(SUBSTITUTE(Z4823,"~","~~"),"*","~*"),"?","~?"),$Z$5:$Z$5004,0)=4819,MAX($AA$4:AA4822)+1,""))</f>
        <v/>
      </c>
    </row>
    <row r="4824" spans="1:27">
      <c r="A4824" s="9"/>
      <c r="Z4824">
        <f>TRIM(A4824&amp;"")</f>
        <v/>
      </c>
      <c r="AA4824">
        <f>IF(Z4824="","",IF(MATCH(SUBSTITUTE(SUBSTITUTE(SUBSTITUTE(Z4824,"~","~~"),"*","~*"),"?","~?"),$Z$5:$Z$5004,0)=4820,MAX($AA$4:AA4823)+1,""))</f>
        <v/>
      </c>
    </row>
    <row r="4825" spans="1:27">
      <c r="A4825" s="9"/>
      <c r="Z4825">
        <f>TRIM(A4825&amp;"")</f>
        <v/>
      </c>
      <c r="AA4825">
        <f>IF(Z4825="","",IF(MATCH(SUBSTITUTE(SUBSTITUTE(SUBSTITUTE(Z4825,"~","~~"),"*","~*"),"?","~?"),$Z$5:$Z$5004,0)=4821,MAX($AA$4:AA4824)+1,""))</f>
        <v/>
      </c>
    </row>
    <row r="4826" spans="1:27">
      <c r="A4826" s="9"/>
      <c r="Z4826">
        <f>TRIM(A4826&amp;"")</f>
        <v/>
      </c>
      <c r="AA4826">
        <f>IF(Z4826="","",IF(MATCH(SUBSTITUTE(SUBSTITUTE(SUBSTITUTE(Z4826,"~","~~"),"*","~*"),"?","~?"),$Z$5:$Z$5004,0)=4822,MAX($AA$4:AA4825)+1,""))</f>
        <v/>
      </c>
    </row>
    <row r="4827" spans="1:27">
      <c r="A4827" s="9"/>
      <c r="Z4827">
        <f>TRIM(A4827&amp;"")</f>
        <v/>
      </c>
      <c r="AA4827">
        <f>IF(Z4827="","",IF(MATCH(SUBSTITUTE(SUBSTITUTE(SUBSTITUTE(Z4827,"~","~~"),"*","~*"),"?","~?"),$Z$5:$Z$5004,0)=4823,MAX($AA$4:AA4826)+1,""))</f>
        <v/>
      </c>
    </row>
    <row r="4828" spans="1:27">
      <c r="A4828" s="9"/>
      <c r="Z4828">
        <f>TRIM(A4828&amp;"")</f>
        <v/>
      </c>
      <c r="AA4828">
        <f>IF(Z4828="","",IF(MATCH(SUBSTITUTE(SUBSTITUTE(SUBSTITUTE(Z4828,"~","~~"),"*","~*"),"?","~?"),$Z$5:$Z$5004,0)=4824,MAX($AA$4:AA4827)+1,""))</f>
        <v/>
      </c>
    </row>
    <row r="4829" spans="1:27">
      <c r="A4829" s="9"/>
      <c r="Z4829">
        <f>TRIM(A4829&amp;"")</f>
        <v/>
      </c>
      <c r="AA4829">
        <f>IF(Z4829="","",IF(MATCH(SUBSTITUTE(SUBSTITUTE(SUBSTITUTE(Z4829,"~","~~"),"*","~*"),"?","~?"),$Z$5:$Z$5004,0)=4825,MAX($AA$4:AA4828)+1,""))</f>
        <v/>
      </c>
    </row>
    <row r="4830" spans="1:27">
      <c r="A4830" s="9"/>
      <c r="Z4830">
        <f>TRIM(A4830&amp;"")</f>
        <v/>
      </c>
      <c r="AA4830">
        <f>IF(Z4830="","",IF(MATCH(SUBSTITUTE(SUBSTITUTE(SUBSTITUTE(Z4830,"~","~~"),"*","~*"),"?","~?"),$Z$5:$Z$5004,0)=4826,MAX($AA$4:AA4829)+1,""))</f>
        <v/>
      </c>
    </row>
    <row r="4831" spans="1:27">
      <c r="A4831" s="9"/>
      <c r="Z4831">
        <f>TRIM(A4831&amp;"")</f>
        <v/>
      </c>
      <c r="AA4831">
        <f>IF(Z4831="","",IF(MATCH(SUBSTITUTE(SUBSTITUTE(SUBSTITUTE(Z4831,"~","~~"),"*","~*"),"?","~?"),$Z$5:$Z$5004,0)=4827,MAX($AA$4:AA4830)+1,""))</f>
        <v/>
      </c>
    </row>
    <row r="4832" spans="1:27">
      <c r="A4832" s="9"/>
      <c r="Z4832">
        <f>TRIM(A4832&amp;"")</f>
        <v/>
      </c>
      <c r="AA4832">
        <f>IF(Z4832="","",IF(MATCH(SUBSTITUTE(SUBSTITUTE(SUBSTITUTE(Z4832,"~","~~"),"*","~*"),"?","~?"),$Z$5:$Z$5004,0)=4828,MAX($AA$4:AA4831)+1,""))</f>
        <v/>
      </c>
    </row>
    <row r="4833" spans="1:27">
      <c r="A4833" s="9"/>
      <c r="Z4833">
        <f>TRIM(A4833&amp;"")</f>
        <v/>
      </c>
      <c r="AA4833">
        <f>IF(Z4833="","",IF(MATCH(SUBSTITUTE(SUBSTITUTE(SUBSTITUTE(Z4833,"~","~~"),"*","~*"),"?","~?"),$Z$5:$Z$5004,0)=4829,MAX($AA$4:AA4832)+1,""))</f>
        <v/>
      </c>
    </row>
    <row r="4834" spans="1:27">
      <c r="A4834" s="9"/>
      <c r="Z4834">
        <f>TRIM(A4834&amp;"")</f>
        <v/>
      </c>
      <c r="AA4834">
        <f>IF(Z4834="","",IF(MATCH(SUBSTITUTE(SUBSTITUTE(SUBSTITUTE(Z4834,"~","~~"),"*","~*"),"?","~?"),$Z$5:$Z$5004,0)=4830,MAX($AA$4:AA4833)+1,""))</f>
        <v/>
      </c>
    </row>
    <row r="4835" spans="1:27">
      <c r="A4835" s="9"/>
      <c r="Z4835">
        <f>TRIM(A4835&amp;"")</f>
        <v/>
      </c>
      <c r="AA4835">
        <f>IF(Z4835="","",IF(MATCH(SUBSTITUTE(SUBSTITUTE(SUBSTITUTE(Z4835,"~","~~"),"*","~*"),"?","~?"),$Z$5:$Z$5004,0)=4831,MAX($AA$4:AA4834)+1,""))</f>
        <v/>
      </c>
    </row>
    <row r="4836" spans="1:27">
      <c r="A4836" s="9"/>
      <c r="Z4836">
        <f>TRIM(A4836&amp;"")</f>
        <v/>
      </c>
      <c r="AA4836">
        <f>IF(Z4836="","",IF(MATCH(SUBSTITUTE(SUBSTITUTE(SUBSTITUTE(Z4836,"~","~~"),"*","~*"),"?","~?"),$Z$5:$Z$5004,0)=4832,MAX($AA$4:AA4835)+1,""))</f>
        <v/>
      </c>
    </row>
    <row r="4837" spans="1:27">
      <c r="A4837" s="9"/>
      <c r="Z4837">
        <f>TRIM(A4837&amp;"")</f>
        <v/>
      </c>
      <c r="AA4837">
        <f>IF(Z4837="","",IF(MATCH(SUBSTITUTE(SUBSTITUTE(SUBSTITUTE(Z4837,"~","~~"),"*","~*"),"?","~?"),$Z$5:$Z$5004,0)=4833,MAX($AA$4:AA4836)+1,""))</f>
        <v/>
      </c>
    </row>
    <row r="4838" spans="1:27">
      <c r="A4838" s="9"/>
      <c r="Z4838">
        <f>TRIM(A4838&amp;"")</f>
        <v/>
      </c>
      <c r="AA4838">
        <f>IF(Z4838="","",IF(MATCH(SUBSTITUTE(SUBSTITUTE(SUBSTITUTE(Z4838,"~","~~"),"*","~*"),"?","~?"),$Z$5:$Z$5004,0)=4834,MAX($AA$4:AA4837)+1,""))</f>
        <v/>
      </c>
    </row>
    <row r="4839" spans="1:27">
      <c r="A4839" s="9"/>
      <c r="Z4839">
        <f>TRIM(A4839&amp;"")</f>
        <v/>
      </c>
      <c r="AA4839">
        <f>IF(Z4839="","",IF(MATCH(SUBSTITUTE(SUBSTITUTE(SUBSTITUTE(Z4839,"~","~~"),"*","~*"),"?","~?"),$Z$5:$Z$5004,0)=4835,MAX($AA$4:AA4838)+1,""))</f>
        <v/>
      </c>
    </row>
    <row r="4840" spans="1:27">
      <c r="A4840" s="9"/>
      <c r="Z4840">
        <f>TRIM(A4840&amp;"")</f>
        <v/>
      </c>
      <c r="AA4840">
        <f>IF(Z4840="","",IF(MATCH(SUBSTITUTE(SUBSTITUTE(SUBSTITUTE(Z4840,"~","~~"),"*","~*"),"?","~?"),$Z$5:$Z$5004,0)=4836,MAX($AA$4:AA4839)+1,""))</f>
        <v/>
      </c>
    </row>
    <row r="4841" spans="1:27">
      <c r="A4841" s="9"/>
      <c r="Z4841">
        <f>TRIM(A4841&amp;"")</f>
        <v/>
      </c>
      <c r="AA4841">
        <f>IF(Z4841="","",IF(MATCH(SUBSTITUTE(SUBSTITUTE(SUBSTITUTE(Z4841,"~","~~"),"*","~*"),"?","~?"),$Z$5:$Z$5004,0)=4837,MAX($AA$4:AA4840)+1,""))</f>
        <v/>
      </c>
    </row>
    <row r="4842" spans="1:27">
      <c r="A4842" s="9"/>
      <c r="Z4842">
        <f>TRIM(A4842&amp;"")</f>
        <v/>
      </c>
      <c r="AA4842">
        <f>IF(Z4842="","",IF(MATCH(SUBSTITUTE(SUBSTITUTE(SUBSTITUTE(Z4842,"~","~~"),"*","~*"),"?","~?"),$Z$5:$Z$5004,0)=4838,MAX($AA$4:AA4841)+1,""))</f>
        <v/>
      </c>
    </row>
    <row r="4843" spans="1:27">
      <c r="A4843" s="9"/>
      <c r="Z4843">
        <f>TRIM(A4843&amp;"")</f>
        <v/>
      </c>
      <c r="AA4843">
        <f>IF(Z4843="","",IF(MATCH(SUBSTITUTE(SUBSTITUTE(SUBSTITUTE(Z4843,"~","~~"),"*","~*"),"?","~?"),$Z$5:$Z$5004,0)=4839,MAX($AA$4:AA4842)+1,""))</f>
        <v/>
      </c>
    </row>
    <row r="4844" spans="1:27">
      <c r="A4844" s="9"/>
      <c r="Z4844">
        <f>TRIM(A4844&amp;"")</f>
        <v/>
      </c>
      <c r="AA4844">
        <f>IF(Z4844="","",IF(MATCH(SUBSTITUTE(SUBSTITUTE(SUBSTITUTE(Z4844,"~","~~"),"*","~*"),"?","~?"),$Z$5:$Z$5004,0)=4840,MAX($AA$4:AA4843)+1,""))</f>
        <v/>
      </c>
    </row>
    <row r="4845" spans="1:27">
      <c r="A4845" s="9"/>
      <c r="Z4845">
        <f>TRIM(A4845&amp;"")</f>
        <v/>
      </c>
      <c r="AA4845">
        <f>IF(Z4845="","",IF(MATCH(SUBSTITUTE(SUBSTITUTE(SUBSTITUTE(Z4845,"~","~~"),"*","~*"),"?","~?"),$Z$5:$Z$5004,0)=4841,MAX($AA$4:AA4844)+1,""))</f>
        <v/>
      </c>
    </row>
    <row r="4846" spans="1:27">
      <c r="A4846" s="9"/>
      <c r="Z4846">
        <f>TRIM(A4846&amp;"")</f>
        <v/>
      </c>
      <c r="AA4846">
        <f>IF(Z4846="","",IF(MATCH(SUBSTITUTE(SUBSTITUTE(SUBSTITUTE(Z4846,"~","~~"),"*","~*"),"?","~?"),$Z$5:$Z$5004,0)=4842,MAX($AA$4:AA4845)+1,""))</f>
        <v/>
      </c>
    </row>
    <row r="4847" spans="1:27">
      <c r="A4847" s="9"/>
      <c r="Z4847">
        <f>TRIM(A4847&amp;"")</f>
        <v/>
      </c>
      <c r="AA4847">
        <f>IF(Z4847="","",IF(MATCH(SUBSTITUTE(SUBSTITUTE(SUBSTITUTE(Z4847,"~","~~"),"*","~*"),"?","~?"),$Z$5:$Z$5004,0)=4843,MAX($AA$4:AA4846)+1,""))</f>
        <v/>
      </c>
    </row>
    <row r="4848" spans="1:27">
      <c r="A4848" s="9"/>
      <c r="Z4848">
        <f>TRIM(A4848&amp;"")</f>
        <v/>
      </c>
      <c r="AA4848">
        <f>IF(Z4848="","",IF(MATCH(SUBSTITUTE(SUBSTITUTE(SUBSTITUTE(Z4848,"~","~~"),"*","~*"),"?","~?"),$Z$5:$Z$5004,0)=4844,MAX($AA$4:AA4847)+1,""))</f>
        <v/>
      </c>
    </row>
    <row r="4849" spans="1:27">
      <c r="A4849" s="9"/>
      <c r="Z4849">
        <f>TRIM(A4849&amp;"")</f>
        <v/>
      </c>
      <c r="AA4849">
        <f>IF(Z4849="","",IF(MATCH(SUBSTITUTE(SUBSTITUTE(SUBSTITUTE(Z4849,"~","~~"),"*","~*"),"?","~?"),$Z$5:$Z$5004,0)=4845,MAX($AA$4:AA4848)+1,""))</f>
        <v/>
      </c>
    </row>
    <row r="4850" spans="1:27">
      <c r="A4850" s="9"/>
      <c r="Z4850">
        <f>TRIM(A4850&amp;"")</f>
        <v/>
      </c>
      <c r="AA4850">
        <f>IF(Z4850="","",IF(MATCH(SUBSTITUTE(SUBSTITUTE(SUBSTITUTE(Z4850,"~","~~"),"*","~*"),"?","~?"),$Z$5:$Z$5004,0)=4846,MAX($AA$4:AA4849)+1,""))</f>
        <v/>
      </c>
    </row>
    <row r="4851" spans="1:27">
      <c r="A4851" s="9"/>
      <c r="Z4851">
        <f>TRIM(A4851&amp;"")</f>
        <v/>
      </c>
      <c r="AA4851">
        <f>IF(Z4851="","",IF(MATCH(SUBSTITUTE(SUBSTITUTE(SUBSTITUTE(Z4851,"~","~~"),"*","~*"),"?","~?"),$Z$5:$Z$5004,0)=4847,MAX($AA$4:AA4850)+1,""))</f>
        <v/>
      </c>
    </row>
    <row r="4852" spans="1:27">
      <c r="A4852" s="9"/>
      <c r="Z4852">
        <f>TRIM(A4852&amp;"")</f>
        <v/>
      </c>
      <c r="AA4852">
        <f>IF(Z4852="","",IF(MATCH(SUBSTITUTE(SUBSTITUTE(SUBSTITUTE(Z4852,"~","~~"),"*","~*"),"?","~?"),$Z$5:$Z$5004,0)=4848,MAX($AA$4:AA4851)+1,""))</f>
        <v/>
      </c>
    </row>
    <row r="4853" spans="1:27">
      <c r="A4853" s="9"/>
      <c r="Z4853">
        <f>TRIM(A4853&amp;"")</f>
        <v/>
      </c>
      <c r="AA4853">
        <f>IF(Z4853="","",IF(MATCH(SUBSTITUTE(SUBSTITUTE(SUBSTITUTE(Z4853,"~","~~"),"*","~*"),"?","~?"),$Z$5:$Z$5004,0)=4849,MAX($AA$4:AA4852)+1,""))</f>
        <v/>
      </c>
    </row>
    <row r="4854" spans="1:27">
      <c r="A4854" s="9"/>
      <c r="Z4854">
        <f>TRIM(A4854&amp;"")</f>
        <v/>
      </c>
      <c r="AA4854">
        <f>IF(Z4854="","",IF(MATCH(SUBSTITUTE(SUBSTITUTE(SUBSTITUTE(Z4854,"~","~~"),"*","~*"),"?","~?"),$Z$5:$Z$5004,0)=4850,MAX($AA$4:AA4853)+1,""))</f>
        <v/>
      </c>
    </row>
    <row r="4855" spans="1:27">
      <c r="A4855" s="9"/>
      <c r="Z4855">
        <f>TRIM(A4855&amp;"")</f>
        <v/>
      </c>
      <c r="AA4855">
        <f>IF(Z4855="","",IF(MATCH(SUBSTITUTE(SUBSTITUTE(SUBSTITUTE(Z4855,"~","~~"),"*","~*"),"?","~?"),$Z$5:$Z$5004,0)=4851,MAX($AA$4:AA4854)+1,""))</f>
        <v/>
      </c>
    </row>
    <row r="4856" spans="1:27">
      <c r="A4856" s="9"/>
      <c r="Z4856">
        <f>TRIM(A4856&amp;"")</f>
        <v/>
      </c>
      <c r="AA4856">
        <f>IF(Z4856="","",IF(MATCH(SUBSTITUTE(SUBSTITUTE(SUBSTITUTE(Z4856,"~","~~"),"*","~*"),"?","~?"),$Z$5:$Z$5004,0)=4852,MAX($AA$4:AA4855)+1,""))</f>
        <v/>
      </c>
    </row>
    <row r="4857" spans="1:27">
      <c r="A4857" s="9"/>
      <c r="Z4857">
        <f>TRIM(A4857&amp;"")</f>
        <v/>
      </c>
      <c r="AA4857">
        <f>IF(Z4857="","",IF(MATCH(SUBSTITUTE(SUBSTITUTE(SUBSTITUTE(Z4857,"~","~~"),"*","~*"),"?","~?"),$Z$5:$Z$5004,0)=4853,MAX($AA$4:AA4856)+1,""))</f>
        <v/>
      </c>
    </row>
    <row r="4858" spans="1:27">
      <c r="A4858" s="9"/>
      <c r="Z4858">
        <f>TRIM(A4858&amp;"")</f>
        <v/>
      </c>
      <c r="AA4858">
        <f>IF(Z4858="","",IF(MATCH(SUBSTITUTE(SUBSTITUTE(SUBSTITUTE(Z4858,"~","~~"),"*","~*"),"?","~?"),$Z$5:$Z$5004,0)=4854,MAX($AA$4:AA4857)+1,""))</f>
        <v/>
      </c>
    </row>
    <row r="4859" spans="1:27">
      <c r="A4859" s="9"/>
      <c r="Z4859">
        <f>TRIM(A4859&amp;"")</f>
        <v/>
      </c>
      <c r="AA4859">
        <f>IF(Z4859="","",IF(MATCH(SUBSTITUTE(SUBSTITUTE(SUBSTITUTE(Z4859,"~","~~"),"*","~*"),"?","~?"),$Z$5:$Z$5004,0)=4855,MAX($AA$4:AA4858)+1,""))</f>
        <v/>
      </c>
    </row>
    <row r="4860" spans="1:27">
      <c r="A4860" s="9"/>
      <c r="Z4860">
        <f>TRIM(A4860&amp;"")</f>
        <v/>
      </c>
      <c r="AA4860">
        <f>IF(Z4860="","",IF(MATCH(SUBSTITUTE(SUBSTITUTE(SUBSTITUTE(Z4860,"~","~~"),"*","~*"),"?","~?"),$Z$5:$Z$5004,0)=4856,MAX($AA$4:AA4859)+1,""))</f>
        <v/>
      </c>
    </row>
    <row r="4861" spans="1:27">
      <c r="A4861" s="9"/>
      <c r="Z4861">
        <f>TRIM(A4861&amp;"")</f>
        <v/>
      </c>
      <c r="AA4861">
        <f>IF(Z4861="","",IF(MATCH(SUBSTITUTE(SUBSTITUTE(SUBSTITUTE(Z4861,"~","~~"),"*","~*"),"?","~?"),$Z$5:$Z$5004,0)=4857,MAX($AA$4:AA4860)+1,""))</f>
        <v/>
      </c>
    </row>
    <row r="4862" spans="1:27">
      <c r="A4862" s="9"/>
      <c r="Z4862">
        <f>TRIM(A4862&amp;"")</f>
        <v/>
      </c>
      <c r="AA4862">
        <f>IF(Z4862="","",IF(MATCH(SUBSTITUTE(SUBSTITUTE(SUBSTITUTE(Z4862,"~","~~"),"*","~*"),"?","~?"),$Z$5:$Z$5004,0)=4858,MAX($AA$4:AA4861)+1,""))</f>
        <v/>
      </c>
    </row>
    <row r="4863" spans="1:27">
      <c r="A4863" s="9"/>
      <c r="Z4863">
        <f>TRIM(A4863&amp;"")</f>
        <v/>
      </c>
      <c r="AA4863">
        <f>IF(Z4863="","",IF(MATCH(SUBSTITUTE(SUBSTITUTE(SUBSTITUTE(Z4863,"~","~~"),"*","~*"),"?","~?"),$Z$5:$Z$5004,0)=4859,MAX($AA$4:AA4862)+1,""))</f>
        <v/>
      </c>
    </row>
    <row r="4864" spans="1:27">
      <c r="A4864" s="9"/>
      <c r="Z4864">
        <f>TRIM(A4864&amp;"")</f>
        <v/>
      </c>
      <c r="AA4864">
        <f>IF(Z4864="","",IF(MATCH(SUBSTITUTE(SUBSTITUTE(SUBSTITUTE(Z4864,"~","~~"),"*","~*"),"?","~?"),$Z$5:$Z$5004,0)=4860,MAX($AA$4:AA4863)+1,""))</f>
        <v/>
      </c>
    </row>
    <row r="4865" spans="1:27">
      <c r="A4865" s="9"/>
      <c r="Z4865">
        <f>TRIM(A4865&amp;"")</f>
        <v/>
      </c>
      <c r="AA4865">
        <f>IF(Z4865="","",IF(MATCH(SUBSTITUTE(SUBSTITUTE(SUBSTITUTE(Z4865,"~","~~"),"*","~*"),"?","~?"),$Z$5:$Z$5004,0)=4861,MAX($AA$4:AA4864)+1,""))</f>
        <v/>
      </c>
    </row>
    <row r="4866" spans="1:27">
      <c r="A4866" s="9"/>
      <c r="Z4866">
        <f>TRIM(A4866&amp;"")</f>
        <v/>
      </c>
      <c r="AA4866">
        <f>IF(Z4866="","",IF(MATCH(SUBSTITUTE(SUBSTITUTE(SUBSTITUTE(Z4866,"~","~~"),"*","~*"),"?","~?"),$Z$5:$Z$5004,0)=4862,MAX($AA$4:AA4865)+1,""))</f>
        <v/>
      </c>
    </row>
    <row r="4867" spans="1:27">
      <c r="A4867" s="9"/>
      <c r="Z4867">
        <f>TRIM(A4867&amp;"")</f>
        <v/>
      </c>
      <c r="AA4867">
        <f>IF(Z4867="","",IF(MATCH(SUBSTITUTE(SUBSTITUTE(SUBSTITUTE(Z4867,"~","~~"),"*","~*"),"?","~?"),$Z$5:$Z$5004,0)=4863,MAX($AA$4:AA4866)+1,""))</f>
        <v/>
      </c>
    </row>
    <row r="4868" spans="1:27">
      <c r="A4868" s="9"/>
      <c r="Z4868">
        <f>TRIM(A4868&amp;"")</f>
        <v/>
      </c>
      <c r="AA4868">
        <f>IF(Z4868="","",IF(MATCH(SUBSTITUTE(SUBSTITUTE(SUBSTITUTE(Z4868,"~","~~"),"*","~*"),"?","~?"),$Z$5:$Z$5004,0)=4864,MAX($AA$4:AA4867)+1,""))</f>
        <v/>
      </c>
    </row>
    <row r="4869" spans="1:27">
      <c r="A4869" s="9"/>
      <c r="Z4869">
        <f>TRIM(A4869&amp;"")</f>
        <v/>
      </c>
      <c r="AA4869">
        <f>IF(Z4869="","",IF(MATCH(SUBSTITUTE(SUBSTITUTE(SUBSTITUTE(Z4869,"~","~~"),"*","~*"),"?","~?"),$Z$5:$Z$5004,0)=4865,MAX($AA$4:AA4868)+1,""))</f>
        <v/>
      </c>
    </row>
    <row r="4870" spans="1:27">
      <c r="A4870" s="9"/>
      <c r="Z4870">
        <f>TRIM(A4870&amp;"")</f>
        <v/>
      </c>
      <c r="AA4870">
        <f>IF(Z4870="","",IF(MATCH(SUBSTITUTE(SUBSTITUTE(SUBSTITUTE(Z4870,"~","~~"),"*","~*"),"?","~?"),$Z$5:$Z$5004,0)=4866,MAX($AA$4:AA4869)+1,""))</f>
        <v/>
      </c>
    </row>
    <row r="4871" spans="1:27">
      <c r="A4871" s="9"/>
      <c r="Z4871">
        <f>TRIM(A4871&amp;"")</f>
        <v/>
      </c>
      <c r="AA4871">
        <f>IF(Z4871="","",IF(MATCH(SUBSTITUTE(SUBSTITUTE(SUBSTITUTE(Z4871,"~","~~"),"*","~*"),"?","~?"),$Z$5:$Z$5004,0)=4867,MAX($AA$4:AA4870)+1,""))</f>
        <v/>
      </c>
    </row>
    <row r="4872" spans="1:27">
      <c r="A4872" s="9"/>
      <c r="Z4872">
        <f>TRIM(A4872&amp;"")</f>
        <v/>
      </c>
      <c r="AA4872">
        <f>IF(Z4872="","",IF(MATCH(SUBSTITUTE(SUBSTITUTE(SUBSTITUTE(Z4872,"~","~~"),"*","~*"),"?","~?"),$Z$5:$Z$5004,0)=4868,MAX($AA$4:AA4871)+1,""))</f>
        <v/>
      </c>
    </row>
    <row r="4873" spans="1:27">
      <c r="A4873" s="9"/>
      <c r="Z4873">
        <f>TRIM(A4873&amp;"")</f>
        <v/>
      </c>
      <c r="AA4873">
        <f>IF(Z4873="","",IF(MATCH(SUBSTITUTE(SUBSTITUTE(SUBSTITUTE(Z4873,"~","~~"),"*","~*"),"?","~?"),$Z$5:$Z$5004,0)=4869,MAX($AA$4:AA4872)+1,""))</f>
        <v/>
      </c>
    </row>
    <row r="4874" spans="1:27">
      <c r="A4874" s="9"/>
      <c r="Z4874">
        <f>TRIM(A4874&amp;"")</f>
        <v/>
      </c>
      <c r="AA4874">
        <f>IF(Z4874="","",IF(MATCH(SUBSTITUTE(SUBSTITUTE(SUBSTITUTE(Z4874,"~","~~"),"*","~*"),"?","~?"),$Z$5:$Z$5004,0)=4870,MAX($AA$4:AA4873)+1,""))</f>
        <v/>
      </c>
    </row>
    <row r="4875" spans="1:27">
      <c r="A4875" s="9"/>
      <c r="Z4875">
        <f>TRIM(A4875&amp;"")</f>
        <v/>
      </c>
      <c r="AA4875">
        <f>IF(Z4875="","",IF(MATCH(SUBSTITUTE(SUBSTITUTE(SUBSTITUTE(Z4875,"~","~~"),"*","~*"),"?","~?"),$Z$5:$Z$5004,0)=4871,MAX($AA$4:AA4874)+1,""))</f>
        <v/>
      </c>
    </row>
    <row r="4876" spans="1:27">
      <c r="A4876" s="9"/>
      <c r="Z4876">
        <f>TRIM(A4876&amp;"")</f>
        <v/>
      </c>
      <c r="AA4876">
        <f>IF(Z4876="","",IF(MATCH(SUBSTITUTE(SUBSTITUTE(SUBSTITUTE(Z4876,"~","~~"),"*","~*"),"?","~?"),$Z$5:$Z$5004,0)=4872,MAX($AA$4:AA4875)+1,""))</f>
        <v/>
      </c>
    </row>
    <row r="4877" spans="1:27">
      <c r="A4877" s="9"/>
      <c r="Z4877">
        <f>TRIM(A4877&amp;"")</f>
        <v/>
      </c>
      <c r="AA4877">
        <f>IF(Z4877="","",IF(MATCH(SUBSTITUTE(SUBSTITUTE(SUBSTITUTE(Z4877,"~","~~"),"*","~*"),"?","~?"),$Z$5:$Z$5004,0)=4873,MAX($AA$4:AA4876)+1,""))</f>
        <v/>
      </c>
    </row>
    <row r="4878" spans="1:27">
      <c r="A4878" s="9"/>
      <c r="Z4878">
        <f>TRIM(A4878&amp;"")</f>
        <v/>
      </c>
      <c r="AA4878">
        <f>IF(Z4878="","",IF(MATCH(SUBSTITUTE(SUBSTITUTE(SUBSTITUTE(Z4878,"~","~~"),"*","~*"),"?","~?"),$Z$5:$Z$5004,0)=4874,MAX($AA$4:AA4877)+1,""))</f>
        <v/>
      </c>
    </row>
    <row r="4879" spans="1:27">
      <c r="A4879" s="9"/>
      <c r="Z4879">
        <f>TRIM(A4879&amp;"")</f>
        <v/>
      </c>
      <c r="AA4879">
        <f>IF(Z4879="","",IF(MATCH(SUBSTITUTE(SUBSTITUTE(SUBSTITUTE(Z4879,"~","~~"),"*","~*"),"?","~?"),$Z$5:$Z$5004,0)=4875,MAX($AA$4:AA4878)+1,""))</f>
        <v/>
      </c>
    </row>
    <row r="4880" spans="1:27">
      <c r="A4880" s="9"/>
      <c r="Z4880">
        <f>TRIM(A4880&amp;"")</f>
        <v/>
      </c>
      <c r="AA4880">
        <f>IF(Z4880="","",IF(MATCH(SUBSTITUTE(SUBSTITUTE(SUBSTITUTE(Z4880,"~","~~"),"*","~*"),"?","~?"),$Z$5:$Z$5004,0)=4876,MAX($AA$4:AA4879)+1,""))</f>
        <v/>
      </c>
    </row>
    <row r="4881" spans="1:27">
      <c r="A4881" s="9"/>
      <c r="Z4881">
        <f>TRIM(A4881&amp;"")</f>
        <v/>
      </c>
      <c r="AA4881">
        <f>IF(Z4881="","",IF(MATCH(SUBSTITUTE(SUBSTITUTE(SUBSTITUTE(Z4881,"~","~~"),"*","~*"),"?","~?"),$Z$5:$Z$5004,0)=4877,MAX($AA$4:AA4880)+1,""))</f>
        <v/>
      </c>
    </row>
    <row r="4882" spans="1:27">
      <c r="A4882" s="9"/>
      <c r="Z4882">
        <f>TRIM(A4882&amp;"")</f>
        <v/>
      </c>
      <c r="AA4882">
        <f>IF(Z4882="","",IF(MATCH(SUBSTITUTE(SUBSTITUTE(SUBSTITUTE(Z4882,"~","~~"),"*","~*"),"?","~?"),$Z$5:$Z$5004,0)=4878,MAX($AA$4:AA4881)+1,""))</f>
        <v/>
      </c>
    </row>
    <row r="4883" spans="1:27">
      <c r="A4883" s="9"/>
      <c r="Z4883">
        <f>TRIM(A4883&amp;"")</f>
        <v/>
      </c>
      <c r="AA4883">
        <f>IF(Z4883="","",IF(MATCH(SUBSTITUTE(SUBSTITUTE(SUBSTITUTE(Z4883,"~","~~"),"*","~*"),"?","~?"),$Z$5:$Z$5004,0)=4879,MAX($AA$4:AA4882)+1,""))</f>
        <v/>
      </c>
    </row>
    <row r="4884" spans="1:27">
      <c r="A4884" s="9"/>
      <c r="Z4884">
        <f>TRIM(A4884&amp;"")</f>
        <v/>
      </c>
      <c r="AA4884">
        <f>IF(Z4884="","",IF(MATCH(SUBSTITUTE(SUBSTITUTE(SUBSTITUTE(Z4884,"~","~~"),"*","~*"),"?","~?"),$Z$5:$Z$5004,0)=4880,MAX($AA$4:AA4883)+1,""))</f>
        <v/>
      </c>
    </row>
    <row r="4885" spans="1:27">
      <c r="A4885" s="9"/>
      <c r="Z4885">
        <f>TRIM(A4885&amp;"")</f>
        <v/>
      </c>
      <c r="AA4885">
        <f>IF(Z4885="","",IF(MATCH(SUBSTITUTE(SUBSTITUTE(SUBSTITUTE(Z4885,"~","~~"),"*","~*"),"?","~?"),$Z$5:$Z$5004,0)=4881,MAX($AA$4:AA4884)+1,""))</f>
        <v/>
      </c>
    </row>
    <row r="4886" spans="1:27">
      <c r="A4886" s="9"/>
      <c r="Z4886">
        <f>TRIM(A4886&amp;"")</f>
        <v/>
      </c>
      <c r="AA4886">
        <f>IF(Z4886="","",IF(MATCH(SUBSTITUTE(SUBSTITUTE(SUBSTITUTE(Z4886,"~","~~"),"*","~*"),"?","~?"),$Z$5:$Z$5004,0)=4882,MAX($AA$4:AA4885)+1,""))</f>
        <v/>
      </c>
    </row>
    <row r="4887" spans="1:27">
      <c r="A4887" s="9"/>
      <c r="Z4887">
        <f>TRIM(A4887&amp;"")</f>
        <v/>
      </c>
      <c r="AA4887">
        <f>IF(Z4887="","",IF(MATCH(SUBSTITUTE(SUBSTITUTE(SUBSTITUTE(Z4887,"~","~~"),"*","~*"),"?","~?"),$Z$5:$Z$5004,0)=4883,MAX($AA$4:AA4886)+1,""))</f>
        <v/>
      </c>
    </row>
    <row r="4888" spans="1:27">
      <c r="A4888" s="9"/>
      <c r="Z4888">
        <f>TRIM(A4888&amp;"")</f>
        <v/>
      </c>
      <c r="AA4888">
        <f>IF(Z4888="","",IF(MATCH(SUBSTITUTE(SUBSTITUTE(SUBSTITUTE(Z4888,"~","~~"),"*","~*"),"?","~?"),$Z$5:$Z$5004,0)=4884,MAX($AA$4:AA4887)+1,""))</f>
        <v/>
      </c>
    </row>
    <row r="4889" spans="1:27">
      <c r="A4889" s="9"/>
      <c r="Z4889">
        <f>TRIM(A4889&amp;"")</f>
        <v/>
      </c>
      <c r="AA4889">
        <f>IF(Z4889="","",IF(MATCH(SUBSTITUTE(SUBSTITUTE(SUBSTITUTE(Z4889,"~","~~"),"*","~*"),"?","~?"),$Z$5:$Z$5004,0)=4885,MAX($AA$4:AA4888)+1,""))</f>
        <v/>
      </c>
    </row>
    <row r="4890" spans="1:27">
      <c r="A4890" s="9"/>
      <c r="Z4890">
        <f>TRIM(A4890&amp;"")</f>
        <v/>
      </c>
      <c r="AA4890">
        <f>IF(Z4890="","",IF(MATCH(SUBSTITUTE(SUBSTITUTE(SUBSTITUTE(Z4890,"~","~~"),"*","~*"),"?","~?"),$Z$5:$Z$5004,0)=4886,MAX($AA$4:AA4889)+1,""))</f>
        <v/>
      </c>
    </row>
    <row r="4891" spans="1:27">
      <c r="A4891" s="9"/>
      <c r="Z4891">
        <f>TRIM(A4891&amp;"")</f>
        <v/>
      </c>
      <c r="AA4891">
        <f>IF(Z4891="","",IF(MATCH(SUBSTITUTE(SUBSTITUTE(SUBSTITUTE(Z4891,"~","~~"),"*","~*"),"?","~?"),$Z$5:$Z$5004,0)=4887,MAX($AA$4:AA4890)+1,""))</f>
        <v/>
      </c>
    </row>
    <row r="4892" spans="1:27">
      <c r="A4892" s="9"/>
      <c r="Z4892">
        <f>TRIM(A4892&amp;"")</f>
        <v/>
      </c>
      <c r="AA4892">
        <f>IF(Z4892="","",IF(MATCH(SUBSTITUTE(SUBSTITUTE(SUBSTITUTE(Z4892,"~","~~"),"*","~*"),"?","~?"),$Z$5:$Z$5004,0)=4888,MAX($AA$4:AA4891)+1,""))</f>
        <v/>
      </c>
    </row>
    <row r="4893" spans="1:27">
      <c r="A4893" s="9"/>
      <c r="Z4893">
        <f>TRIM(A4893&amp;"")</f>
        <v/>
      </c>
      <c r="AA4893">
        <f>IF(Z4893="","",IF(MATCH(SUBSTITUTE(SUBSTITUTE(SUBSTITUTE(Z4893,"~","~~"),"*","~*"),"?","~?"),$Z$5:$Z$5004,0)=4889,MAX($AA$4:AA4892)+1,""))</f>
        <v/>
      </c>
    </row>
    <row r="4894" spans="1:27">
      <c r="A4894" s="9"/>
      <c r="Z4894">
        <f>TRIM(A4894&amp;"")</f>
        <v/>
      </c>
      <c r="AA4894">
        <f>IF(Z4894="","",IF(MATCH(SUBSTITUTE(SUBSTITUTE(SUBSTITUTE(Z4894,"~","~~"),"*","~*"),"?","~?"),$Z$5:$Z$5004,0)=4890,MAX($AA$4:AA4893)+1,""))</f>
        <v/>
      </c>
    </row>
    <row r="4895" spans="1:27">
      <c r="A4895" s="9"/>
      <c r="Z4895">
        <f>TRIM(A4895&amp;"")</f>
        <v/>
      </c>
      <c r="AA4895">
        <f>IF(Z4895="","",IF(MATCH(SUBSTITUTE(SUBSTITUTE(SUBSTITUTE(Z4895,"~","~~"),"*","~*"),"?","~?"),$Z$5:$Z$5004,0)=4891,MAX($AA$4:AA4894)+1,""))</f>
        <v/>
      </c>
    </row>
    <row r="4896" spans="1:27">
      <c r="A4896" s="9"/>
      <c r="Z4896">
        <f>TRIM(A4896&amp;"")</f>
        <v/>
      </c>
      <c r="AA4896">
        <f>IF(Z4896="","",IF(MATCH(SUBSTITUTE(SUBSTITUTE(SUBSTITUTE(Z4896,"~","~~"),"*","~*"),"?","~?"),$Z$5:$Z$5004,0)=4892,MAX($AA$4:AA4895)+1,""))</f>
        <v/>
      </c>
    </row>
    <row r="4897" spans="1:27">
      <c r="A4897" s="9"/>
      <c r="Z4897">
        <f>TRIM(A4897&amp;"")</f>
        <v/>
      </c>
      <c r="AA4897">
        <f>IF(Z4897="","",IF(MATCH(SUBSTITUTE(SUBSTITUTE(SUBSTITUTE(Z4897,"~","~~"),"*","~*"),"?","~?"),$Z$5:$Z$5004,0)=4893,MAX($AA$4:AA4896)+1,""))</f>
        <v/>
      </c>
    </row>
    <row r="4898" spans="1:27">
      <c r="A4898" s="9"/>
      <c r="Z4898">
        <f>TRIM(A4898&amp;"")</f>
        <v/>
      </c>
      <c r="AA4898">
        <f>IF(Z4898="","",IF(MATCH(SUBSTITUTE(SUBSTITUTE(SUBSTITUTE(Z4898,"~","~~"),"*","~*"),"?","~?"),$Z$5:$Z$5004,0)=4894,MAX($AA$4:AA4897)+1,""))</f>
        <v/>
      </c>
    </row>
    <row r="4899" spans="1:27">
      <c r="A4899" s="9"/>
      <c r="Z4899">
        <f>TRIM(A4899&amp;"")</f>
        <v/>
      </c>
      <c r="AA4899">
        <f>IF(Z4899="","",IF(MATCH(SUBSTITUTE(SUBSTITUTE(SUBSTITUTE(Z4899,"~","~~"),"*","~*"),"?","~?"),$Z$5:$Z$5004,0)=4895,MAX($AA$4:AA4898)+1,""))</f>
        <v/>
      </c>
    </row>
    <row r="4900" spans="1:27">
      <c r="A4900" s="9"/>
      <c r="Z4900">
        <f>TRIM(A4900&amp;"")</f>
        <v/>
      </c>
      <c r="AA4900">
        <f>IF(Z4900="","",IF(MATCH(SUBSTITUTE(SUBSTITUTE(SUBSTITUTE(Z4900,"~","~~"),"*","~*"),"?","~?"),$Z$5:$Z$5004,0)=4896,MAX($AA$4:AA4899)+1,""))</f>
        <v/>
      </c>
    </row>
    <row r="4901" spans="1:27">
      <c r="A4901" s="9"/>
      <c r="Z4901">
        <f>TRIM(A4901&amp;"")</f>
        <v/>
      </c>
      <c r="AA4901">
        <f>IF(Z4901="","",IF(MATCH(SUBSTITUTE(SUBSTITUTE(SUBSTITUTE(Z4901,"~","~~"),"*","~*"),"?","~?"),$Z$5:$Z$5004,0)=4897,MAX($AA$4:AA4900)+1,""))</f>
        <v/>
      </c>
    </row>
    <row r="4902" spans="1:27">
      <c r="A4902" s="9"/>
      <c r="Z4902">
        <f>TRIM(A4902&amp;"")</f>
        <v/>
      </c>
      <c r="AA4902">
        <f>IF(Z4902="","",IF(MATCH(SUBSTITUTE(SUBSTITUTE(SUBSTITUTE(Z4902,"~","~~"),"*","~*"),"?","~?"),$Z$5:$Z$5004,0)=4898,MAX($AA$4:AA4901)+1,""))</f>
        <v/>
      </c>
    </row>
    <row r="4903" spans="1:27">
      <c r="A4903" s="9"/>
      <c r="Z4903">
        <f>TRIM(A4903&amp;"")</f>
        <v/>
      </c>
      <c r="AA4903">
        <f>IF(Z4903="","",IF(MATCH(SUBSTITUTE(SUBSTITUTE(SUBSTITUTE(Z4903,"~","~~"),"*","~*"),"?","~?"),$Z$5:$Z$5004,0)=4899,MAX($AA$4:AA4902)+1,""))</f>
        <v/>
      </c>
    </row>
    <row r="4904" spans="1:27">
      <c r="A4904" s="9"/>
      <c r="Z4904">
        <f>TRIM(A4904&amp;"")</f>
        <v/>
      </c>
      <c r="AA4904">
        <f>IF(Z4904="","",IF(MATCH(SUBSTITUTE(SUBSTITUTE(SUBSTITUTE(Z4904,"~","~~"),"*","~*"),"?","~?"),$Z$5:$Z$5004,0)=4900,MAX($AA$4:AA4903)+1,""))</f>
        <v/>
      </c>
    </row>
    <row r="4905" spans="1:27">
      <c r="A4905" s="9"/>
      <c r="Z4905">
        <f>TRIM(A4905&amp;"")</f>
        <v/>
      </c>
      <c r="AA4905">
        <f>IF(Z4905="","",IF(MATCH(SUBSTITUTE(SUBSTITUTE(SUBSTITUTE(Z4905,"~","~~"),"*","~*"),"?","~?"),$Z$5:$Z$5004,0)=4901,MAX($AA$4:AA4904)+1,""))</f>
        <v/>
      </c>
    </row>
    <row r="4906" spans="1:27">
      <c r="A4906" s="9"/>
      <c r="Z4906">
        <f>TRIM(A4906&amp;"")</f>
        <v/>
      </c>
      <c r="AA4906">
        <f>IF(Z4906="","",IF(MATCH(SUBSTITUTE(SUBSTITUTE(SUBSTITUTE(Z4906,"~","~~"),"*","~*"),"?","~?"),$Z$5:$Z$5004,0)=4902,MAX($AA$4:AA4905)+1,""))</f>
        <v/>
      </c>
    </row>
    <row r="4907" spans="1:27">
      <c r="A4907" s="9"/>
      <c r="Z4907">
        <f>TRIM(A4907&amp;"")</f>
        <v/>
      </c>
      <c r="AA4907">
        <f>IF(Z4907="","",IF(MATCH(SUBSTITUTE(SUBSTITUTE(SUBSTITUTE(Z4907,"~","~~"),"*","~*"),"?","~?"),$Z$5:$Z$5004,0)=4903,MAX($AA$4:AA4906)+1,""))</f>
        <v/>
      </c>
    </row>
    <row r="4908" spans="1:27">
      <c r="A4908" s="9"/>
      <c r="Z4908">
        <f>TRIM(A4908&amp;"")</f>
        <v/>
      </c>
      <c r="AA4908">
        <f>IF(Z4908="","",IF(MATCH(SUBSTITUTE(SUBSTITUTE(SUBSTITUTE(Z4908,"~","~~"),"*","~*"),"?","~?"),$Z$5:$Z$5004,0)=4904,MAX($AA$4:AA4907)+1,""))</f>
        <v/>
      </c>
    </row>
    <row r="4909" spans="1:27">
      <c r="A4909" s="9"/>
      <c r="Z4909">
        <f>TRIM(A4909&amp;"")</f>
        <v/>
      </c>
      <c r="AA4909">
        <f>IF(Z4909="","",IF(MATCH(SUBSTITUTE(SUBSTITUTE(SUBSTITUTE(Z4909,"~","~~"),"*","~*"),"?","~?"),$Z$5:$Z$5004,0)=4905,MAX($AA$4:AA4908)+1,""))</f>
        <v/>
      </c>
    </row>
    <row r="4910" spans="1:27">
      <c r="A4910" s="9"/>
      <c r="Z4910">
        <f>TRIM(A4910&amp;"")</f>
        <v/>
      </c>
      <c r="AA4910">
        <f>IF(Z4910="","",IF(MATCH(SUBSTITUTE(SUBSTITUTE(SUBSTITUTE(Z4910,"~","~~"),"*","~*"),"?","~?"),$Z$5:$Z$5004,0)=4906,MAX($AA$4:AA4909)+1,""))</f>
        <v/>
      </c>
    </row>
    <row r="4911" spans="1:27">
      <c r="A4911" s="9"/>
      <c r="Z4911">
        <f>TRIM(A4911&amp;"")</f>
        <v/>
      </c>
      <c r="AA4911">
        <f>IF(Z4911="","",IF(MATCH(SUBSTITUTE(SUBSTITUTE(SUBSTITUTE(Z4911,"~","~~"),"*","~*"),"?","~?"),$Z$5:$Z$5004,0)=4907,MAX($AA$4:AA4910)+1,""))</f>
        <v/>
      </c>
    </row>
    <row r="4912" spans="1:27">
      <c r="A4912" s="9"/>
      <c r="Z4912">
        <f>TRIM(A4912&amp;"")</f>
        <v/>
      </c>
      <c r="AA4912">
        <f>IF(Z4912="","",IF(MATCH(SUBSTITUTE(SUBSTITUTE(SUBSTITUTE(Z4912,"~","~~"),"*","~*"),"?","~?"),$Z$5:$Z$5004,0)=4908,MAX($AA$4:AA4911)+1,""))</f>
        <v/>
      </c>
    </row>
    <row r="4913" spans="1:27">
      <c r="A4913" s="9"/>
      <c r="Z4913">
        <f>TRIM(A4913&amp;"")</f>
        <v/>
      </c>
      <c r="AA4913">
        <f>IF(Z4913="","",IF(MATCH(SUBSTITUTE(SUBSTITUTE(SUBSTITUTE(Z4913,"~","~~"),"*","~*"),"?","~?"),$Z$5:$Z$5004,0)=4909,MAX($AA$4:AA4912)+1,""))</f>
        <v/>
      </c>
    </row>
    <row r="4914" spans="1:27">
      <c r="A4914" s="9"/>
      <c r="Z4914">
        <f>TRIM(A4914&amp;"")</f>
        <v/>
      </c>
      <c r="AA4914">
        <f>IF(Z4914="","",IF(MATCH(SUBSTITUTE(SUBSTITUTE(SUBSTITUTE(Z4914,"~","~~"),"*","~*"),"?","~?"),$Z$5:$Z$5004,0)=4910,MAX($AA$4:AA4913)+1,""))</f>
        <v/>
      </c>
    </row>
    <row r="4915" spans="1:27">
      <c r="A4915" s="9"/>
      <c r="Z4915">
        <f>TRIM(A4915&amp;"")</f>
        <v/>
      </c>
      <c r="AA4915">
        <f>IF(Z4915="","",IF(MATCH(SUBSTITUTE(SUBSTITUTE(SUBSTITUTE(Z4915,"~","~~"),"*","~*"),"?","~?"),$Z$5:$Z$5004,0)=4911,MAX($AA$4:AA4914)+1,""))</f>
        <v/>
      </c>
    </row>
    <row r="4916" spans="1:27">
      <c r="A4916" s="9"/>
      <c r="Z4916">
        <f>TRIM(A4916&amp;"")</f>
        <v/>
      </c>
      <c r="AA4916">
        <f>IF(Z4916="","",IF(MATCH(SUBSTITUTE(SUBSTITUTE(SUBSTITUTE(Z4916,"~","~~"),"*","~*"),"?","~?"),$Z$5:$Z$5004,0)=4912,MAX($AA$4:AA4915)+1,""))</f>
        <v/>
      </c>
    </row>
    <row r="4917" spans="1:27">
      <c r="A4917" s="9"/>
      <c r="Z4917">
        <f>TRIM(A4917&amp;"")</f>
        <v/>
      </c>
      <c r="AA4917">
        <f>IF(Z4917="","",IF(MATCH(SUBSTITUTE(SUBSTITUTE(SUBSTITUTE(Z4917,"~","~~"),"*","~*"),"?","~?"),$Z$5:$Z$5004,0)=4913,MAX($AA$4:AA4916)+1,""))</f>
        <v/>
      </c>
    </row>
    <row r="4918" spans="1:27">
      <c r="A4918" s="9"/>
      <c r="Z4918">
        <f>TRIM(A4918&amp;"")</f>
        <v/>
      </c>
      <c r="AA4918">
        <f>IF(Z4918="","",IF(MATCH(SUBSTITUTE(SUBSTITUTE(SUBSTITUTE(Z4918,"~","~~"),"*","~*"),"?","~?"),$Z$5:$Z$5004,0)=4914,MAX($AA$4:AA4917)+1,""))</f>
        <v/>
      </c>
    </row>
    <row r="4919" spans="1:27">
      <c r="A4919" s="9"/>
      <c r="Z4919">
        <f>TRIM(A4919&amp;"")</f>
        <v/>
      </c>
      <c r="AA4919">
        <f>IF(Z4919="","",IF(MATCH(SUBSTITUTE(SUBSTITUTE(SUBSTITUTE(Z4919,"~","~~"),"*","~*"),"?","~?"),$Z$5:$Z$5004,0)=4915,MAX($AA$4:AA4918)+1,""))</f>
        <v/>
      </c>
    </row>
    <row r="4920" spans="1:27">
      <c r="A4920" s="9"/>
      <c r="Z4920">
        <f>TRIM(A4920&amp;"")</f>
        <v/>
      </c>
      <c r="AA4920">
        <f>IF(Z4920="","",IF(MATCH(SUBSTITUTE(SUBSTITUTE(SUBSTITUTE(Z4920,"~","~~"),"*","~*"),"?","~?"),$Z$5:$Z$5004,0)=4916,MAX($AA$4:AA4919)+1,""))</f>
        <v/>
      </c>
    </row>
    <row r="4921" spans="1:27">
      <c r="A4921" s="9"/>
      <c r="Z4921">
        <f>TRIM(A4921&amp;"")</f>
        <v/>
      </c>
      <c r="AA4921">
        <f>IF(Z4921="","",IF(MATCH(SUBSTITUTE(SUBSTITUTE(SUBSTITUTE(Z4921,"~","~~"),"*","~*"),"?","~?"),$Z$5:$Z$5004,0)=4917,MAX($AA$4:AA4920)+1,""))</f>
        <v/>
      </c>
    </row>
    <row r="4922" spans="1:27">
      <c r="A4922" s="9"/>
      <c r="Z4922">
        <f>TRIM(A4922&amp;"")</f>
        <v/>
      </c>
      <c r="AA4922">
        <f>IF(Z4922="","",IF(MATCH(SUBSTITUTE(SUBSTITUTE(SUBSTITUTE(Z4922,"~","~~"),"*","~*"),"?","~?"),$Z$5:$Z$5004,0)=4918,MAX($AA$4:AA4921)+1,""))</f>
        <v/>
      </c>
    </row>
    <row r="4923" spans="1:27">
      <c r="A4923" s="9"/>
      <c r="Z4923">
        <f>TRIM(A4923&amp;"")</f>
        <v/>
      </c>
      <c r="AA4923">
        <f>IF(Z4923="","",IF(MATCH(SUBSTITUTE(SUBSTITUTE(SUBSTITUTE(Z4923,"~","~~"),"*","~*"),"?","~?"),$Z$5:$Z$5004,0)=4919,MAX($AA$4:AA4922)+1,""))</f>
        <v/>
      </c>
    </row>
    <row r="4924" spans="1:27">
      <c r="A4924" s="9"/>
      <c r="Z4924">
        <f>TRIM(A4924&amp;"")</f>
        <v/>
      </c>
      <c r="AA4924">
        <f>IF(Z4924="","",IF(MATCH(SUBSTITUTE(SUBSTITUTE(SUBSTITUTE(Z4924,"~","~~"),"*","~*"),"?","~?"),$Z$5:$Z$5004,0)=4920,MAX($AA$4:AA4923)+1,""))</f>
        <v/>
      </c>
    </row>
    <row r="4925" spans="1:27">
      <c r="A4925" s="9"/>
      <c r="Z4925">
        <f>TRIM(A4925&amp;"")</f>
        <v/>
      </c>
      <c r="AA4925">
        <f>IF(Z4925="","",IF(MATCH(SUBSTITUTE(SUBSTITUTE(SUBSTITUTE(Z4925,"~","~~"),"*","~*"),"?","~?"),$Z$5:$Z$5004,0)=4921,MAX($AA$4:AA4924)+1,""))</f>
        <v/>
      </c>
    </row>
    <row r="4926" spans="1:27">
      <c r="A4926" s="9"/>
      <c r="Z4926">
        <f>TRIM(A4926&amp;"")</f>
        <v/>
      </c>
      <c r="AA4926">
        <f>IF(Z4926="","",IF(MATCH(SUBSTITUTE(SUBSTITUTE(SUBSTITUTE(Z4926,"~","~~"),"*","~*"),"?","~?"),$Z$5:$Z$5004,0)=4922,MAX($AA$4:AA4925)+1,""))</f>
        <v/>
      </c>
    </row>
    <row r="4927" spans="1:27">
      <c r="A4927" s="9"/>
      <c r="Z4927">
        <f>TRIM(A4927&amp;"")</f>
        <v/>
      </c>
      <c r="AA4927">
        <f>IF(Z4927="","",IF(MATCH(SUBSTITUTE(SUBSTITUTE(SUBSTITUTE(Z4927,"~","~~"),"*","~*"),"?","~?"),$Z$5:$Z$5004,0)=4923,MAX($AA$4:AA4926)+1,""))</f>
        <v/>
      </c>
    </row>
    <row r="4928" spans="1:27">
      <c r="A4928" s="9"/>
      <c r="Z4928">
        <f>TRIM(A4928&amp;"")</f>
        <v/>
      </c>
      <c r="AA4928">
        <f>IF(Z4928="","",IF(MATCH(SUBSTITUTE(SUBSTITUTE(SUBSTITUTE(Z4928,"~","~~"),"*","~*"),"?","~?"),$Z$5:$Z$5004,0)=4924,MAX($AA$4:AA4927)+1,""))</f>
        <v/>
      </c>
    </row>
    <row r="4929" spans="1:27">
      <c r="A4929" s="9"/>
      <c r="Z4929">
        <f>TRIM(A4929&amp;"")</f>
        <v/>
      </c>
      <c r="AA4929">
        <f>IF(Z4929="","",IF(MATCH(SUBSTITUTE(SUBSTITUTE(SUBSTITUTE(Z4929,"~","~~"),"*","~*"),"?","~?"),$Z$5:$Z$5004,0)=4925,MAX($AA$4:AA4928)+1,""))</f>
        <v/>
      </c>
    </row>
    <row r="4930" spans="1:27">
      <c r="A4930" s="9"/>
      <c r="Z4930">
        <f>TRIM(A4930&amp;"")</f>
        <v/>
      </c>
      <c r="AA4930">
        <f>IF(Z4930="","",IF(MATCH(SUBSTITUTE(SUBSTITUTE(SUBSTITUTE(Z4930,"~","~~"),"*","~*"),"?","~?"),$Z$5:$Z$5004,0)=4926,MAX($AA$4:AA4929)+1,""))</f>
        <v/>
      </c>
    </row>
    <row r="4931" spans="1:27">
      <c r="A4931" s="9"/>
      <c r="Z4931">
        <f>TRIM(A4931&amp;"")</f>
        <v/>
      </c>
      <c r="AA4931">
        <f>IF(Z4931="","",IF(MATCH(SUBSTITUTE(SUBSTITUTE(SUBSTITUTE(Z4931,"~","~~"),"*","~*"),"?","~?"),$Z$5:$Z$5004,0)=4927,MAX($AA$4:AA4930)+1,""))</f>
        <v/>
      </c>
    </row>
    <row r="4932" spans="1:27">
      <c r="A4932" s="9"/>
      <c r="Z4932">
        <f>TRIM(A4932&amp;"")</f>
        <v/>
      </c>
      <c r="AA4932">
        <f>IF(Z4932="","",IF(MATCH(SUBSTITUTE(SUBSTITUTE(SUBSTITUTE(Z4932,"~","~~"),"*","~*"),"?","~?"),$Z$5:$Z$5004,0)=4928,MAX($AA$4:AA4931)+1,""))</f>
        <v/>
      </c>
    </row>
    <row r="4933" spans="1:27">
      <c r="A4933" s="9"/>
      <c r="Z4933">
        <f>TRIM(A4933&amp;"")</f>
        <v/>
      </c>
      <c r="AA4933">
        <f>IF(Z4933="","",IF(MATCH(SUBSTITUTE(SUBSTITUTE(SUBSTITUTE(Z4933,"~","~~"),"*","~*"),"?","~?"),$Z$5:$Z$5004,0)=4929,MAX($AA$4:AA4932)+1,""))</f>
        <v/>
      </c>
    </row>
    <row r="4934" spans="1:27">
      <c r="A4934" s="9"/>
      <c r="Z4934">
        <f>TRIM(A4934&amp;"")</f>
        <v/>
      </c>
      <c r="AA4934">
        <f>IF(Z4934="","",IF(MATCH(SUBSTITUTE(SUBSTITUTE(SUBSTITUTE(Z4934,"~","~~"),"*","~*"),"?","~?"),$Z$5:$Z$5004,0)=4930,MAX($AA$4:AA4933)+1,""))</f>
        <v/>
      </c>
    </row>
    <row r="4935" spans="1:27">
      <c r="A4935" s="9"/>
      <c r="Z4935">
        <f>TRIM(A4935&amp;"")</f>
        <v/>
      </c>
      <c r="AA4935">
        <f>IF(Z4935="","",IF(MATCH(SUBSTITUTE(SUBSTITUTE(SUBSTITUTE(Z4935,"~","~~"),"*","~*"),"?","~?"),$Z$5:$Z$5004,0)=4931,MAX($AA$4:AA4934)+1,""))</f>
        <v/>
      </c>
    </row>
    <row r="4936" spans="1:27">
      <c r="A4936" s="9"/>
      <c r="Z4936">
        <f>TRIM(A4936&amp;"")</f>
        <v/>
      </c>
      <c r="AA4936">
        <f>IF(Z4936="","",IF(MATCH(SUBSTITUTE(SUBSTITUTE(SUBSTITUTE(Z4936,"~","~~"),"*","~*"),"?","~?"),$Z$5:$Z$5004,0)=4932,MAX($AA$4:AA4935)+1,""))</f>
        <v/>
      </c>
    </row>
    <row r="4937" spans="1:27">
      <c r="A4937" s="9"/>
      <c r="Z4937">
        <f>TRIM(A4937&amp;"")</f>
        <v/>
      </c>
      <c r="AA4937">
        <f>IF(Z4937="","",IF(MATCH(SUBSTITUTE(SUBSTITUTE(SUBSTITUTE(Z4937,"~","~~"),"*","~*"),"?","~?"),$Z$5:$Z$5004,0)=4933,MAX($AA$4:AA4936)+1,""))</f>
        <v/>
      </c>
    </row>
    <row r="4938" spans="1:27">
      <c r="A4938" s="9"/>
      <c r="Z4938">
        <f>TRIM(A4938&amp;"")</f>
        <v/>
      </c>
      <c r="AA4938">
        <f>IF(Z4938="","",IF(MATCH(SUBSTITUTE(SUBSTITUTE(SUBSTITUTE(Z4938,"~","~~"),"*","~*"),"?","~?"),$Z$5:$Z$5004,0)=4934,MAX($AA$4:AA4937)+1,""))</f>
        <v/>
      </c>
    </row>
    <row r="4939" spans="1:27">
      <c r="A4939" s="9"/>
      <c r="Z4939">
        <f>TRIM(A4939&amp;"")</f>
        <v/>
      </c>
      <c r="AA4939">
        <f>IF(Z4939="","",IF(MATCH(SUBSTITUTE(SUBSTITUTE(SUBSTITUTE(Z4939,"~","~~"),"*","~*"),"?","~?"),$Z$5:$Z$5004,0)=4935,MAX($AA$4:AA4938)+1,""))</f>
        <v/>
      </c>
    </row>
    <row r="4940" spans="1:27">
      <c r="A4940" s="9"/>
      <c r="Z4940">
        <f>TRIM(A4940&amp;"")</f>
        <v/>
      </c>
      <c r="AA4940">
        <f>IF(Z4940="","",IF(MATCH(SUBSTITUTE(SUBSTITUTE(SUBSTITUTE(Z4940,"~","~~"),"*","~*"),"?","~?"),$Z$5:$Z$5004,0)=4936,MAX($AA$4:AA4939)+1,""))</f>
        <v/>
      </c>
    </row>
    <row r="4941" spans="1:27">
      <c r="A4941" s="9"/>
      <c r="Z4941">
        <f>TRIM(A4941&amp;"")</f>
        <v/>
      </c>
      <c r="AA4941">
        <f>IF(Z4941="","",IF(MATCH(SUBSTITUTE(SUBSTITUTE(SUBSTITUTE(Z4941,"~","~~"),"*","~*"),"?","~?"),$Z$5:$Z$5004,0)=4937,MAX($AA$4:AA4940)+1,""))</f>
        <v/>
      </c>
    </row>
    <row r="4942" spans="1:27">
      <c r="A4942" s="9"/>
      <c r="Z4942">
        <f>TRIM(A4942&amp;"")</f>
        <v/>
      </c>
      <c r="AA4942">
        <f>IF(Z4942="","",IF(MATCH(SUBSTITUTE(SUBSTITUTE(SUBSTITUTE(Z4942,"~","~~"),"*","~*"),"?","~?"),$Z$5:$Z$5004,0)=4938,MAX($AA$4:AA4941)+1,""))</f>
        <v/>
      </c>
    </row>
    <row r="4943" spans="1:27">
      <c r="A4943" s="9"/>
      <c r="Z4943">
        <f>TRIM(A4943&amp;"")</f>
        <v/>
      </c>
      <c r="AA4943">
        <f>IF(Z4943="","",IF(MATCH(SUBSTITUTE(SUBSTITUTE(SUBSTITUTE(Z4943,"~","~~"),"*","~*"),"?","~?"),$Z$5:$Z$5004,0)=4939,MAX($AA$4:AA4942)+1,""))</f>
        <v/>
      </c>
    </row>
    <row r="4944" spans="1:27">
      <c r="A4944" s="9"/>
      <c r="Z4944">
        <f>TRIM(A4944&amp;"")</f>
        <v/>
      </c>
      <c r="AA4944">
        <f>IF(Z4944="","",IF(MATCH(SUBSTITUTE(SUBSTITUTE(SUBSTITUTE(Z4944,"~","~~"),"*","~*"),"?","~?"),$Z$5:$Z$5004,0)=4940,MAX($AA$4:AA4943)+1,""))</f>
        <v/>
      </c>
    </row>
    <row r="4945" spans="1:27">
      <c r="A4945" s="9"/>
      <c r="Z4945">
        <f>TRIM(A4945&amp;"")</f>
        <v/>
      </c>
      <c r="AA4945">
        <f>IF(Z4945="","",IF(MATCH(SUBSTITUTE(SUBSTITUTE(SUBSTITUTE(Z4945,"~","~~"),"*","~*"),"?","~?"),$Z$5:$Z$5004,0)=4941,MAX($AA$4:AA4944)+1,""))</f>
        <v/>
      </c>
    </row>
    <row r="4946" spans="1:27">
      <c r="A4946" s="9"/>
      <c r="Z4946">
        <f>TRIM(A4946&amp;"")</f>
        <v/>
      </c>
      <c r="AA4946">
        <f>IF(Z4946="","",IF(MATCH(SUBSTITUTE(SUBSTITUTE(SUBSTITUTE(Z4946,"~","~~"),"*","~*"),"?","~?"),$Z$5:$Z$5004,0)=4942,MAX($AA$4:AA4945)+1,""))</f>
        <v/>
      </c>
    </row>
    <row r="4947" spans="1:27">
      <c r="A4947" s="9"/>
      <c r="Z4947">
        <f>TRIM(A4947&amp;"")</f>
        <v/>
      </c>
      <c r="AA4947">
        <f>IF(Z4947="","",IF(MATCH(SUBSTITUTE(SUBSTITUTE(SUBSTITUTE(Z4947,"~","~~"),"*","~*"),"?","~?"),$Z$5:$Z$5004,0)=4943,MAX($AA$4:AA4946)+1,""))</f>
        <v/>
      </c>
    </row>
    <row r="4948" spans="1:27">
      <c r="A4948" s="9"/>
      <c r="Z4948">
        <f>TRIM(A4948&amp;"")</f>
        <v/>
      </c>
      <c r="AA4948">
        <f>IF(Z4948="","",IF(MATCH(SUBSTITUTE(SUBSTITUTE(SUBSTITUTE(Z4948,"~","~~"),"*","~*"),"?","~?"),$Z$5:$Z$5004,0)=4944,MAX($AA$4:AA4947)+1,""))</f>
        <v/>
      </c>
    </row>
    <row r="4949" spans="1:27">
      <c r="A4949" s="9"/>
      <c r="Z4949">
        <f>TRIM(A4949&amp;"")</f>
        <v/>
      </c>
      <c r="AA4949">
        <f>IF(Z4949="","",IF(MATCH(SUBSTITUTE(SUBSTITUTE(SUBSTITUTE(Z4949,"~","~~"),"*","~*"),"?","~?"),$Z$5:$Z$5004,0)=4945,MAX($AA$4:AA4948)+1,""))</f>
        <v/>
      </c>
    </row>
    <row r="4950" spans="1:27">
      <c r="A4950" s="9"/>
      <c r="Z4950">
        <f>TRIM(A4950&amp;"")</f>
        <v/>
      </c>
      <c r="AA4950">
        <f>IF(Z4950="","",IF(MATCH(SUBSTITUTE(SUBSTITUTE(SUBSTITUTE(Z4950,"~","~~"),"*","~*"),"?","~?"),$Z$5:$Z$5004,0)=4946,MAX($AA$4:AA4949)+1,""))</f>
        <v/>
      </c>
    </row>
    <row r="4951" spans="1:27">
      <c r="A4951" s="9"/>
      <c r="Z4951">
        <f>TRIM(A4951&amp;"")</f>
        <v/>
      </c>
      <c r="AA4951">
        <f>IF(Z4951="","",IF(MATCH(SUBSTITUTE(SUBSTITUTE(SUBSTITUTE(Z4951,"~","~~"),"*","~*"),"?","~?"),$Z$5:$Z$5004,0)=4947,MAX($AA$4:AA4950)+1,""))</f>
        <v/>
      </c>
    </row>
    <row r="4952" spans="1:27">
      <c r="A4952" s="9"/>
      <c r="Z4952">
        <f>TRIM(A4952&amp;"")</f>
        <v/>
      </c>
      <c r="AA4952">
        <f>IF(Z4952="","",IF(MATCH(SUBSTITUTE(SUBSTITUTE(SUBSTITUTE(Z4952,"~","~~"),"*","~*"),"?","~?"),$Z$5:$Z$5004,0)=4948,MAX($AA$4:AA4951)+1,""))</f>
        <v/>
      </c>
    </row>
    <row r="4953" spans="1:27">
      <c r="A4953" s="9"/>
      <c r="Z4953">
        <f>TRIM(A4953&amp;"")</f>
        <v/>
      </c>
      <c r="AA4953">
        <f>IF(Z4953="","",IF(MATCH(SUBSTITUTE(SUBSTITUTE(SUBSTITUTE(Z4953,"~","~~"),"*","~*"),"?","~?"),$Z$5:$Z$5004,0)=4949,MAX($AA$4:AA4952)+1,""))</f>
        <v/>
      </c>
    </row>
    <row r="4954" spans="1:27">
      <c r="A4954" s="9"/>
      <c r="Z4954">
        <f>TRIM(A4954&amp;"")</f>
        <v/>
      </c>
      <c r="AA4954">
        <f>IF(Z4954="","",IF(MATCH(SUBSTITUTE(SUBSTITUTE(SUBSTITUTE(Z4954,"~","~~"),"*","~*"),"?","~?"),$Z$5:$Z$5004,0)=4950,MAX($AA$4:AA4953)+1,""))</f>
        <v/>
      </c>
    </row>
    <row r="4955" spans="1:27">
      <c r="A4955" s="9"/>
      <c r="Z4955">
        <f>TRIM(A4955&amp;"")</f>
        <v/>
      </c>
      <c r="AA4955">
        <f>IF(Z4955="","",IF(MATCH(SUBSTITUTE(SUBSTITUTE(SUBSTITUTE(Z4955,"~","~~"),"*","~*"),"?","~?"),$Z$5:$Z$5004,0)=4951,MAX($AA$4:AA4954)+1,""))</f>
        <v/>
      </c>
    </row>
    <row r="4956" spans="1:27">
      <c r="A4956" s="9"/>
      <c r="Z4956">
        <f>TRIM(A4956&amp;"")</f>
        <v/>
      </c>
      <c r="AA4956">
        <f>IF(Z4956="","",IF(MATCH(SUBSTITUTE(SUBSTITUTE(SUBSTITUTE(Z4956,"~","~~"),"*","~*"),"?","~?"),$Z$5:$Z$5004,0)=4952,MAX($AA$4:AA4955)+1,""))</f>
        <v/>
      </c>
    </row>
    <row r="4957" spans="1:27">
      <c r="A4957" s="9"/>
      <c r="Z4957">
        <f>TRIM(A4957&amp;"")</f>
        <v/>
      </c>
      <c r="AA4957">
        <f>IF(Z4957="","",IF(MATCH(SUBSTITUTE(SUBSTITUTE(SUBSTITUTE(Z4957,"~","~~"),"*","~*"),"?","~?"),$Z$5:$Z$5004,0)=4953,MAX($AA$4:AA4956)+1,""))</f>
        <v/>
      </c>
    </row>
    <row r="4958" spans="1:27">
      <c r="A4958" s="9"/>
      <c r="Z4958">
        <f>TRIM(A4958&amp;"")</f>
        <v/>
      </c>
      <c r="AA4958">
        <f>IF(Z4958="","",IF(MATCH(SUBSTITUTE(SUBSTITUTE(SUBSTITUTE(Z4958,"~","~~"),"*","~*"),"?","~?"),$Z$5:$Z$5004,0)=4954,MAX($AA$4:AA4957)+1,""))</f>
        <v/>
      </c>
    </row>
    <row r="4959" spans="1:27">
      <c r="A4959" s="9"/>
      <c r="Z4959">
        <f>TRIM(A4959&amp;"")</f>
        <v/>
      </c>
      <c r="AA4959">
        <f>IF(Z4959="","",IF(MATCH(SUBSTITUTE(SUBSTITUTE(SUBSTITUTE(Z4959,"~","~~"),"*","~*"),"?","~?"),$Z$5:$Z$5004,0)=4955,MAX($AA$4:AA4958)+1,""))</f>
        <v/>
      </c>
    </row>
    <row r="4960" spans="1:27">
      <c r="A4960" s="9"/>
      <c r="Z4960">
        <f>TRIM(A4960&amp;"")</f>
        <v/>
      </c>
      <c r="AA4960">
        <f>IF(Z4960="","",IF(MATCH(SUBSTITUTE(SUBSTITUTE(SUBSTITUTE(Z4960,"~","~~"),"*","~*"),"?","~?"),$Z$5:$Z$5004,0)=4956,MAX($AA$4:AA4959)+1,""))</f>
        <v/>
      </c>
    </row>
    <row r="4961" spans="1:27">
      <c r="A4961" s="9"/>
      <c r="Z4961">
        <f>TRIM(A4961&amp;"")</f>
        <v/>
      </c>
      <c r="AA4961">
        <f>IF(Z4961="","",IF(MATCH(SUBSTITUTE(SUBSTITUTE(SUBSTITUTE(Z4961,"~","~~"),"*","~*"),"?","~?"),$Z$5:$Z$5004,0)=4957,MAX($AA$4:AA4960)+1,""))</f>
        <v/>
      </c>
    </row>
    <row r="4962" spans="1:27">
      <c r="A4962" s="9"/>
      <c r="Z4962">
        <f>TRIM(A4962&amp;"")</f>
        <v/>
      </c>
      <c r="AA4962">
        <f>IF(Z4962="","",IF(MATCH(SUBSTITUTE(SUBSTITUTE(SUBSTITUTE(Z4962,"~","~~"),"*","~*"),"?","~?"),$Z$5:$Z$5004,0)=4958,MAX($AA$4:AA4961)+1,""))</f>
        <v/>
      </c>
    </row>
    <row r="4963" spans="1:27">
      <c r="A4963" s="9"/>
      <c r="Z4963">
        <f>TRIM(A4963&amp;"")</f>
        <v/>
      </c>
      <c r="AA4963">
        <f>IF(Z4963="","",IF(MATCH(SUBSTITUTE(SUBSTITUTE(SUBSTITUTE(Z4963,"~","~~"),"*","~*"),"?","~?"),$Z$5:$Z$5004,0)=4959,MAX($AA$4:AA4962)+1,""))</f>
        <v/>
      </c>
    </row>
    <row r="4964" spans="1:27">
      <c r="A4964" s="9"/>
      <c r="Z4964">
        <f>TRIM(A4964&amp;"")</f>
        <v/>
      </c>
      <c r="AA4964">
        <f>IF(Z4964="","",IF(MATCH(SUBSTITUTE(SUBSTITUTE(SUBSTITUTE(Z4964,"~","~~"),"*","~*"),"?","~?"),$Z$5:$Z$5004,0)=4960,MAX($AA$4:AA4963)+1,""))</f>
        <v/>
      </c>
    </row>
    <row r="4965" spans="1:27">
      <c r="A4965" s="9"/>
      <c r="Z4965">
        <f>TRIM(A4965&amp;"")</f>
        <v/>
      </c>
      <c r="AA4965">
        <f>IF(Z4965="","",IF(MATCH(SUBSTITUTE(SUBSTITUTE(SUBSTITUTE(Z4965,"~","~~"),"*","~*"),"?","~?"),$Z$5:$Z$5004,0)=4961,MAX($AA$4:AA4964)+1,""))</f>
        <v/>
      </c>
    </row>
    <row r="4966" spans="1:27">
      <c r="A4966" s="9"/>
      <c r="Z4966">
        <f>TRIM(A4966&amp;"")</f>
        <v/>
      </c>
      <c r="AA4966">
        <f>IF(Z4966="","",IF(MATCH(SUBSTITUTE(SUBSTITUTE(SUBSTITUTE(Z4966,"~","~~"),"*","~*"),"?","~?"),$Z$5:$Z$5004,0)=4962,MAX($AA$4:AA4965)+1,""))</f>
        <v/>
      </c>
    </row>
    <row r="4967" spans="1:27">
      <c r="A4967" s="9"/>
      <c r="Z4967">
        <f>TRIM(A4967&amp;"")</f>
        <v/>
      </c>
      <c r="AA4967">
        <f>IF(Z4967="","",IF(MATCH(SUBSTITUTE(SUBSTITUTE(SUBSTITUTE(Z4967,"~","~~"),"*","~*"),"?","~?"),$Z$5:$Z$5004,0)=4963,MAX($AA$4:AA4966)+1,""))</f>
        <v/>
      </c>
    </row>
    <row r="4968" spans="1:27">
      <c r="A4968" s="9"/>
      <c r="Z4968">
        <f>TRIM(A4968&amp;"")</f>
        <v/>
      </c>
      <c r="AA4968">
        <f>IF(Z4968="","",IF(MATCH(SUBSTITUTE(SUBSTITUTE(SUBSTITUTE(Z4968,"~","~~"),"*","~*"),"?","~?"),$Z$5:$Z$5004,0)=4964,MAX($AA$4:AA4967)+1,""))</f>
        <v/>
      </c>
    </row>
    <row r="4969" spans="1:27">
      <c r="A4969" s="9"/>
      <c r="Z4969">
        <f>TRIM(A4969&amp;"")</f>
        <v/>
      </c>
      <c r="AA4969">
        <f>IF(Z4969="","",IF(MATCH(SUBSTITUTE(SUBSTITUTE(SUBSTITUTE(Z4969,"~","~~"),"*","~*"),"?","~?"),$Z$5:$Z$5004,0)=4965,MAX($AA$4:AA4968)+1,""))</f>
        <v/>
      </c>
    </row>
    <row r="4970" spans="1:27">
      <c r="A4970" s="9"/>
      <c r="Z4970">
        <f>TRIM(A4970&amp;"")</f>
        <v/>
      </c>
      <c r="AA4970">
        <f>IF(Z4970="","",IF(MATCH(SUBSTITUTE(SUBSTITUTE(SUBSTITUTE(Z4970,"~","~~"),"*","~*"),"?","~?"),$Z$5:$Z$5004,0)=4966,MAX($AA$4:AA4969)+1,""))</f>
        <v/>
      </c>
    </row>
    <row r="4971" spans="1:27">
      <c r="A4971" s="9"/>
      <c r="Z4971">
        <f>TRIM(A4971&amp;"")</f>
        <v/>
      </c>
      <c r="AA4971">
        <f>IF(Z4971="","",IF(MATCH(SUBSTITUTE(SUBSTITUTE(SUBSTITUTE(Z4971,"~","~~"),"*","~*"),"?","~?"),$Z$5:$Z$5004,0)=4967,MAX($AA$4:AA4970)+1,""))</f>
        <v/>
      </c>
    </row>
    <row r="4972" spans="1:27">
      <c r="A4972" s="9"/>
      <c r="Z4972">
        <f>TRIM(A4972&amp;"")</f>
        <v/>
      </c>
      <c r="AA4972">
        <f>IF(Z4972="","",IF(MATCH(SUBSTITUTE(SUBSTITUTE(SUBSTITUTE(Z4972,"~","~~"),"*","~*"),"?","~?"),$Z$5:$Z$5004,0)=4968,MAX($AA$4:AA4971)+1,""))</f>
        <v/>
      </c>
    </row>
    <row r="4973" spans="1:27">
      <c r="A4973" s="9"/>
      <c r="Z4973">
        <f>TRIM(A4973&amp;"")</f>
        <v/>
      </c>
      <c r="AA4973">
        <f>IF(Z4973="","",IF(MATCH(SUBSTITUTE(SUBSTITUTE(SUBSTITUTE(Z4973,"~","~~"),"*","~*"),"?","~?"),$Z$5:$Z$5004,0)=4969,MAX($AA$4:AA4972)+1,""))</f>
        <v/>
      </c>
    </row>
    <row r="4974" spans="1:27">
      <c r="A4974" s="9"/>
      <c r="Z4974">
        <f>TRIM(A4974&amp;"")</f>
        <v/>
      </c>
      <c r="AA4974">
        <f>IF(Z4974="","",IF(MATCH(SUBSTITUTE(SUBSTITUTE(SUBSTITUTE(Z4974,"~","~~"),"*","~*"),"?","~?"),$Z$5:$Z$5004,0)=4970,MAX($AA$4:AA4973)+1,""))</f>
        <v/>
      </c>
    </row>
    <row r="4975" spans="1:27">
      <c r="A4975" s="9"/>
      <c r="Z4975">
        <f>TRIM(A4975&amp;"")</f>
        <v/>
      </c>
      <c r="AA4975">
        <f>IF(Z4975="","",IF(MATCH(SUBSTITUTE(SUBSTITUTE(SUBSTITUTE(Z4975,"~","~~"),"*","~*"),"?","~?"),$Z$5:$Z$5004,0)=4971,MAX($AA$4:AA4974)+1,""))</f>
        <v/>
      </c>
    </row>
    <row r="4976" spans="1:27">
      <c r="A4976" s="9"/>
      <c r="Z4976">
        <f>TRIM(A4976&amp;"")</f>
        <v/>
      </c>
      <c r="AA4976">
        <f>IF(Z4976="","",IF(MATCH(SUBSTITUTE(SUBSTITUTE(SUBSTITUTE(Z4976,"~","~~"),"*","~*"),"?","~?"),$Z$5:$Z$5004,0)=4972,MAX($AA$4:AA4975)+1,""))</f>
        <v/>
      </c>
    </row>
    <row r="4977" spans="1:27">
      <c r="A4977" s="9"/>
      <c r="Z4977">
        <f>TRIM(A4977&amp;"")</f>
        <v/>
      </c>
      <c r="AA4977">
        <f>IF(Z4977="","",IF(MATCH(SUBSTITUTE(SUBSTITUTE(SUBSTITUTE(Z4977,"~","~~"),"*","~*"),"?","~?"),$Z$5:$Z$5004,0)=4973,MAX($AA$4:AA4976)+1,""))</f>
        <v/>
      </c>
    </row>
    <row r="4978" spans="1:27">
      <c r="A4978" s="9"/>
      <c r="Z4978">
        <f>TRIM(A4978&amp;"")</f>
        <v/>
      </c>
      <c r="AA4978">
        <f>IF(Z4978="","",IF(MATCH(SUBSTITUTE(SUBSTITUTE(SUBSTITUTE(Z4978,"~","~~"),"*","~*"),"?","~?"),$Z$5:$Z$5004,0)=4974,MAX($AA$4:AA4977)+1,""))</f>
        <v/>
      </c>
    </row>
    <row r="4979" spans="1:27">
      <c r="A4979" s="9"/>
      <c r="Z4979">
        <f>TRIM(A4979&amp;"")</f>
        <v/>
      </c>
      <c r="AA4979">
        <f>IF(Z4979="","",IF(MATCH(SUBSTITUTE(SUBSTITUTE(SUBSTITUTE(Z4979,"~","~~"),"*","~*"),"?","~?"),$Z$5:$Z$5004,0)=4975,MAX($AA$4:AA4978)+1,""))</f>
        <v/>
      </c>
    </row>
    <row r="4980" spans="1:27">
      <c r="A4980" s="9"/>
      <c r="Z4980">
        <f>TRIM(A4980&amp;"")</f>
        <v/>
      </c>
      <c r="AA4980">
        <f>IF(Z4980="","",IF(MATCH(SUBSTITUTE(SUBSTITUTE(SUBSTITUTE(Z4980,"~","~~"),"*","~*"),"?","~?"),$Z$5:$Z$5004,0)=4976,MAX($AA$4:AA4979)+1,""))</f>
        <v/>
      </c>
    </row>
    <row r="4981" spans="1:27">
      <c r="A4981" s="9"/>
      <c r="Z4981">
        <f>TRIM(A4981&amp;"")</f>
        <v/>
      </c>
      <c r="AA4981">
        <f>IF(Z4981="","",IF(MATCH(SUBSTITUTE(SUBSTITUTE(SUBSTITUTE(Z4981,"~","~~"),"*","~*"),"?","~?"),$Z$5:$Z$5004,0)=4977,MAX($AA$4:AA4980)+1,""))</f>
        <v/>
      </c>
    </row>
    <row r="4982" spans="1:27">
      <c r="A4982" s="9"/>
      <c r="Z4982">
        <f>TRIM(A4982&amp;"")</f>
        <v/>
      </c>
      <c r="AA4982">
        <f>IF(Z4982="","",IF(MATCH(SUBSTITUTE(SUBSTITUTE(SUBSTITUTE(Z4982,"~","~~"),"*","~*"),"?","~?"),$Z$5:$Z$5004,0)=4978,MAX($AA$4:AA4981)+1,""))</f>
        <v/>
      </c>
    </row>
    <row r="4983" spans="1:27">
      <c r="A4983" s="9"/>
      <c r="Z4983">
        <f>TRIM(A4983&amp;"")</f>
        <v/>
      </c>
      <c r="AA4983">
        <f>IF(Z4983="","",IF(MATCH(SUBSTITUTE(SUBSTITUTE(SUBSTITUTE(Z4983,"~","~~"),"*","~*"),"?","~?"),$Z$5:$Z$5004,0)=4979,MAX($AA$4:AA4982)+1,""))</f>
        <v/>
      </c>
    </row>
    <row r="4984" spans="1:27">
      <c r="A4984" s="9"/>
      <c r="Z4984">
        <f>TRIM(A4984&amp;"")</f>
        <v/>
      </c>
      <c r="AA4984">
        <f>IF(Z4984="","",IF(MATCH(SUBSTITUTE(SUBSTITUTE(SUBSTITUTE(Z4984,"~","~~"),"*","~*"),"?","~?"),$Z$5:$Z$5004,0)=4980,MAX($AA$4:AA4983)+1,""))</f>
        <v/>
      </c>
    </row>
    <row r="4985" spans="1:27">
      <c r="A4985" s="9"/>
      <c r="Z4985">
        <f>TRIM(A4985&amp;"")</f>
        <v/>
      </c>
      <c r="AA4985">
        <f>IF(Z4985="","",IF(MATCH(SUBSTITUTE(SUBSTITUTE(SUBSTITUTE(Z4985,"~","~~"),"*","~*"),"?","~?"),$Z$5:$Z$5004,0)=4981,MAX($AA$4:AA4984)+1,""))</f>
        <v/>
      </c>
    </row>
    <row r="4986" spans="1:27">
      <c r="A4986" s="9"/>
      <c r="Z4986">
        <f>TRIM(A4986&amp;"")</f>
        <v/>
      </c>
      <c r="AA4986">
        <f>IF(Z4986="","",IF(MATCH(SUBSTITUTE(SUBSTITUTE(SUBSTITUTE(Z4986,"~","~~"),"*","~*"),"?","~?"),$Z$5:$Z$5004,0)=4982,MAX($AA$4:AA4985)+1,""))</f>
        <v/>
      </c>
    </row>
    <row r="4987" spans="1:27">
      <c r="A4987" s="9"/>
      <c r="Z4987">
        <f>TRIM(A4987&amp;"")</f>
        <v/>
      </c>
      <c r="AA4987">
        <f>IF(Z4987="","",IF(MATCH(SUBSTITUTE(SUBSTITUTE(SUBSTITUTE(Z4987,"~","~~"),"*","~*"),"?","~?"),$Z$5:$Z$5004,0)=4983,MAX($AA$4:AA4986)+1,""))</f>
        <v/>
      </c>
    </row>
    <row r="4988" spans="1:27">
      <c r="A4988" s="9"/>
      <c r="Z4988">
        <f>TRIM(A4988&amp;"")</f>
        <v/>
      </c>
      <c r="AA4988">
        <f>IF(Z4988="","",IF(MATCH(SUBSTITUTE(SUBSTITUTE(SUBSTITUTE(Z4988,"~","~~"),"*","~*"),"?","~?"),$Z$5:$Z$5004,0)=4984,MAX($AA$4:AA4987)+1,""))</f>
        <v/>
      </c>
    </row>
    <row r="4989" spans="1:27">
      <c r="A4989" s="9"/>
      <c r="Z4989">
        <f>TRIM(A4989&amp;"")</f>
        <v/>
      </c>
      <c r="AA4989">
        <f>IF(Z4989="","",IF(MATCH(SUBSTITUTE(SUBSTITUTE(SUBSTITUTE(Z4989,"~","~~"),"*","~*"),"?","~?"),$Z$5:$Z$5004,0)=4985,MAX($AA$4:AA4988)+1,""))</f>
        <v/>
      </c>
    </row>
    <row r="4990" spans="1:27">
      <c r="A4990" s="9"/>
      <c r="Z4990">
        <f>TRIM(A4990&amp;"")</f>
        <v/>
      </c>
      <c r="AA4990">
        <f>IF(Z4990="","",IF(MATCH(SUBSTITUTE(SUBSTITUTE(SUBSTITUTE(Z4990,"~","~~"),"*","~*"),"?","~?"),$Z$5:$Z$5004,0)=4986,MAX($AA$4:AA4989)+1,""))</f>
        <v/>
      </c>
    </row>
    <row r="4991" spans="1:27">
      <c r="A4991" s="9"/>
      <c r="Z4991">
        <f>TRIM(A4991&amp;"")</f>
        <v/>
      </c>
      <c r="AA4991">
        <f>IF(Z4991="","",IF(MATCH(SUBSTITUTE(SUBSTITUTE(SUBSTITUTE(Z4991,"~","~~"),"*","~*"),"?","~?"),$Z$5:$Z$5004,0)=4987,MAX($AA$4:AA4990)+1,""))</f>
        <v/>
      </c>
    </row>
    <row r="4992" spans="1:27">
      <c r="A4992" s="9"/>
      <c r="Z4992">
        <f>TRIM(A4992&amp;"")</f>
        <v/>
      </c>
      <c r="AA4992">
        <f>IF(Z4992="","",IF(MATCH(SUBSTITUTE(SUBSTITUTE(SUBSTITUTE(Z4992,"~","~~"),"*","~*"),"?","~?"),$Z$5:$Z$5004,0)=4988,MAX($AA$4:AA4991)+1,""))</f>
        <v/>
      </c>
    </row>
    <row r="4993" spans="1:27">
      <c r="A4993" s="9"/>
      <c r="Z4993">
        <f>TRIM(A4993&amp;"")</f>
        <v/>
      </c>
      <c r="AA4993">
        <f>IF(Z4993="","",IF(MATCH(SUBSTITUTE(SUBSTITUTE(SUBSTITUTE(Z4993,"~","~~"),"*","~*"),"?","~?"),$Z$5:$Z$5004,0)=4989,MAX($AA$4:AA4992)+1,""))</f>
        <v/>
      </c>
    </row>
    <row r="4994" spans="1:27">
      <c r="A4994" s="9"/>
      <c r="Z4994">
        <f>TRIM(A4994&amp;"")</f>
        <v/>
      </c>
      <c r="AA4994">
        <f>IF(Z4994="","",IF(MATCH(SUBSTITUTE(SUBSTITUTE(SUBSTITUTE(Z4994,"~","~~"),"*","~*"),"?","~?"),$Z$5:$Z$5004,0)=4990,MAX($AA$4:AA4993)+1,""))</f>
        <v/>
      </c>
    </row>
    <row r="4995" spans="1:27">
      <c r="A4995" s="9"/>
      <c r="Z4995">
        <f>TRIM(A4995&amp;"")</f>
        <v/>
      </c>
      <c r="AA4995">
        <f>IF(Z4995="","",IF(MATCH(SUBSTITUTE(SUBSTITUTE(SUBSTITUTE(Z4995,"~","~~"),"*","~*"),"?","~?"),$Z$5:$Z$5004,0)=4991,MAX($AA$4:AA4994)+1,""))</f>
        <v/>
      </c>
    </row>
    <row r="4996" spans="1:27">
      <c r="A4996" s="9"/>
      <c r="Z4996">
        <f>TRIM(A4996&amp;"")</f>
        <v/>
      </c>
      <c r="AA4996">
        <f>IF(Z4996="","",IF(MATCH(SUBSTITUTE(SUBSTITUTE(SUBSTITUTE(Z4996,"~","~~"),"*","~*"),"?","~?"),$Z$5:$Z$5004,0)=4992,MAX($AA$4:AA4995)+1,""))</f>
        <v/>
      </c>
    </row>
    <row r="4997" spans="1:27">
      <c r="A4997" s="9"/>
      <c r="Z4997">
        <f>TRIM(A4997&amp;"")</f>
        <v/>
      </c>
      <c r="AA4997">
        <f>IF(Z4997="","",IF(MATCH(SUBSTITUTE(SUBSTITUTE(SUBSTITUTE(Z4997,"~","~~"),"*","~*"),"?","~?"),$Z$5:$Z$5004,0)=4993,MAX($AA$4:AA4996)+1,""))</f>
        <v/>
      </c>
    </row>
    <row r="4998" spans="1:27">
      <c r="A4998" s="9"/>
      <c r="Z4998">
        <f>TRIM(A4998&amp;"")</f>
        <v/>
      </c>
      <c r="AA4998">
        <f>IF(Z4998="","",IF(MATCH(SUBSTITUTE(SUBSTITUTE(SUBSTITUTE(Z4998,"~","~~"),"*","~*"),"?","~?"),$Z$5:$Z$5004,0)=4994,MAX($AA$4:AA4997)+1,""))</f>
        <v/>
      </c>
    </row>
    <row r="4999" spans="1:27">
      <c r="A4999" s="9"/>
      <c r="Z4999">
        <f>TRIM(A4999&amp;"")</f>
        <v/>
      </c>
      <c r="AA4999">
        <f>IF(Z4999="","",IF(MATCH(SUBSTITUTE(SUBSTITUTE(SUBSTITUTE(Z4999,"~","~~"),"*","~*"),"?","~?"),$Z$5:$Z$5004,0)=4995,MAX($AA$4:AA4998)+1,""))</f>
        <v/>
      </c>
    </row>
    <row r="5000" spans="1:27">
      <c r="A5000" s="9"/>
      <c r="Z5000">
        <f>TRIM(A5000&amp;"")</f>
        <v/>
      </c>
      <c r="AA5000">
        <f>IF(Z5000="","",IF(MATCH(SUBSTITUTE(SUBSTITUTE(SUBSTITUTE(Z5000,"~","~~"),"*","~*"),"?","~?"),$Z$5:$Z$5004,0)=4996,MAX($AA$4:AA4999)+1,""))</f>
        <v/>
      </c>
    </row>
    <row r="5001" spans="1:27">
      <c r="A5001" s="9"/>
      <c r="Z5001">
        <f>TRIM(A5001&amp;"")</f>
        <v/>
      </c>
      <c r="AA5001">
        <f>IF(Z5001="","",IF(MATCH(SUBSTITUTE(SUBSTITUTE(SUBSTITUTE(Z5001,"~","~~"),"*","~*"),"?","~?"),$Z$5:$Z$5004,0)=4997,MAX($AA$4:AA5000)+1,""))</f>
        <v/>
      </c>
    </row>
    <row r="5002" spans="1:27">
      <c r="A5002" s="9"/>
      <c r="Z5002">
        <f>TRIM(A5002&amp;"")</f>
        <v/>
      </c>
      <c r="AA5002">
        <f>IF(Z5002="","",IF(MATCH(SUBSTITUTE(SUBSTITUTE(SUBSTITUTE(Z5002,"~","~~"),"*","~*"),"?","~?"),$Z$5:$Z$5004,0)=4998,MAX($AA$4:AA5001)+1,""))</f>
        <v/>
      </c>
    </row>
    <row r="5003" spans="1:27">
      <c r="A5003" s="9"/>
      <c r="Z5003">
        <f>TRIM(A5003&amp;"")</f>
        <v/>
      </c>
      <c r="AA5003">
        <f>IF(Z5003="","",IF(MATCH(SUBSTITUTE(SUBSTITUTE(SUBSTITUTE(Z5003,"~","~~"),"*","~*"),"?","~?"),$Z$5:$Z$5004,0)=4999,MAX($AA$4:AA5002)+1,""))</f>
        <v/>
      </c>
    </row>
    <row r="5004" spans="1:27">
      <c r="A5004" s="9"/>
      <c r="Z5004">
        <f>TRIM(A5004&amp;"")</f>
        <v/>
      </c>
      <c r="AA5004">
        <f>IF(Z5004="","",IF(MATCH(SUBSTITUTE(SUBSTITUTE(SUBSTITUTE(Z5004,"~","~~"),"*","~*"),"?","~?"),$Z$5:$Z$5004,0)=5000,MAX($AA$4:AA5003)+1,""))</f>
        <v/>
      </c>
    </row>
  </sheetData>
  <mergeCells count="1">
    <mergeCell ref="C35:H35"/>
  </mergeCells>
  <dataValidations count="1">
    <dataValidation type="list" allowBlank="1" showInputMessage="1" showErrorMessage="1" promptTitle="Orden" prompt="Por frecuencia, en el orden en que aparecen, o en el que escribas en la columna J." sqref="D5">
      <formula1>"Por frecuencia,Por aparición,Orden propio"</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K5004"/>
  <sheetViews>
    <sheetView showGridLines="0" workbookViewId="0">
      <pane ySplit="4" topLeftCell="A5" activePane="bottomLeft" state="frozen"/>
      <selection pane="bottomLeft"/>
    </sheetView>
  </sheetViews>
  <sheetFormatPr defaultRowHeight="15"/>
  <cols>
    <col min="1" max="1" width="14.7109375" customWidth="1"/>
    <col min="2" max="2" width="3.7109375" customWidth="1"/>
    <col min="3" max="3" width="34.7109375" customWidth="1"/>
    <col min="4" max="4" width="22.7109375" customWidth="1"/>
    <col min="5" max="10" width="11.7109375" customWidth="1"/>
    <col min="11" max="11" width="34.7109375" customWidth="1"/>
  </cols>
  <sheetData>
    <row r="1" spans="1:5">
      <c r="A1" s="1" t="s">
        <v>41</v>
      </c>
    </row>
    <row r="2" spans="1:5">
      <c r="A2" s="2" t="s">
        <v>42</v>
      </c>
    </row>
    <row r="4" spans="1:5">
      <c r="A4" s="8" t="s">
        <v>43</v>
      </c>
      <c r="C4" s="4" t="s">
        <v>23</v>
      </c>
    </row>
    <row r="5" spans="1:5">
      <c r="A5" s="9">
        <v>23</v>
      </c>
      <c r="C5" s="5" t="s">
        <v>44</v>
      </c>
      <c r="D5" s="9"/>
    </row>
    <row r="6" spans="1:5">
      <c r="A6" s="9">
        <v>35</v>
      </c>
      <c r="C6" s="5" t="s">
        <v>45</v>
      </c>
      <c r="D6" s="9">
        <v>1</v>
      </c>
    </row>
    <row r="7" spans="1:5">
      <c r="A7" s="9">
        <v>62</v>
      </c>
    </row>
    <row r="8" spans="1:5">
      <c r="A8" s="9">
        <v>58</v>
      </c>
      <c r="C8" s="4" t="s">
        <v>46</v>
      </c>
    </row>
    <row r="9" spans="1:5">
      <c r="A9" s="9">
        <v>65</v>
      </c>
      <c r="C9" s="5" t="s">
        <v>28</v>
      </c>
      <c r="D9" s="10">
        <f>COUNT(fn_datos)</f>
        <v>200.0</v>
      </c>
      <c r="E9" s="13">
        <f>IF(COUNTA(fn_datos)-COUNT(fn_datos)&gt;0,"Hay "&amp;(COUNTA(fn_datos)-COUNT(fn_datos))&amp;" celda(s) con texto: no se cuentan.","")</f>
        <v/>
      </c>
    </row>
    <row r="10" spans="1:5">
      <c r="A10" s="9">
        <v>90</v>
      </c>
      <c r="C10" s="5" t="s">
        <v>47</v>
      </c>
      <c r="D10" s="14">
        <f>IF(fn_n&gt;=1,MIN(fn_datos),"")</f>
        <v>18.0</v>
      </c>
    </row>
    <row r="11" spans="1:5">
      <c r="A11" s="9">
        <v>41</v>
      </c>
      <c r="C11" s="5" t="s">
        <v>48</v>
      </c>
      <c r="D11" s="14">
        <f>IF(fn_n&gt;=1,MAX(fn_datos),"")</f>
        <v>90.0</v>
      </c>
    </row>
    <row r="12" spans="1:5">
      <c r="A12" s="9">
        <v>90</v>
      </c>
      <c r="C12" s="5" t="s">
        <v>49</v>
      </c>
      <c r="D12" s="14">
        <f>IF(fn_n&gt;=1,_xlfn.QUARTILE.INC(fn_datos,3)-_xlfn.QUARTILE.INC(fn_datos,1),"")</f>
        <v>18.0</v>
      </c>
    </row>
    <row r="13" spans="1:5">
      <c r="A13" s="9">
        <v>67</v>
      </c>
      <c r="C13" s="5" t="s">
        <v>50</v>
      </c>
      <c r="D13" s="10">
        <f>IF(fn_n&lt;1,"",IF(AND(fn_ric&gt;0,fn_max-fn_min&gt;0),MIN(25,MAX(4,ROUNDUP((fn_max-fn_min)/(2*fn_ric/fn_n^(1/3)),0))),MIN(25,MAX(4,ROUNDUP(SQRT(fn_n),0)))))</f>
        <v>12.0</v>
      </c>
    </row>
    <row r="14" spans="1:5">
      <c r="A14" s="9">
        <v>38</v>
      </c>
      <c r="C14" s="5" t="s">
        <v>51</v>
      </c>
      <c r="D14" s="10">
        <f>IF(fn_n&lt;1,"",IF(ISNUMBER(fn_k_pedido),MIN(25,MAX(1,INT(fn_k_pedido))),fn_k_auto))</f>
        <v>12.0</v>
      </c>
    </row>
    <row r="15" spans="1:5">
      <c r="A15" s="9">
        <v>41</v>
      </c>
      <c r="C15" s="5" t="s">
        <v>52</v>
      </c>
      <c r="D15" s="14">
        <f>IF(fn_n&lt;1,"",IF(fn_max&gt;fn_min,(fn_max-fn_min)/fn_k,1))</f>
        <v>6.0</v>
      </c>
    </row>
    <row r="16" spans="1:5">
      <c r="A16" s="9">
        <v>32</v>
      </c>
    </row>
    <row r="17" spans="1:11">
      <c r="A17" s="9">
        <v>64</v>
      </c>
      <c r="C17" s="4" t="s">
        <v>53</v>
      </c>
    </row>
    <row r="18" spans="1:11">
      <c r="A18" s="9">
        <v>26</v>
      </c>
      <c r="C18" s="8" t="s">
        <v>57</v>
      </c>
      <c r="D18" s="8" t="s">
        <v>54</v>
      </c>
      <c r="E18" s="8" t="s">
        <v>55</v>
      </c>
      <c r="F18" s="8" t="s">
        <v>56</v>
      </c>
      <c r="G18" s="8" t="s">
        <v>28</v>
      </c>
      <c r="H18" s="8" t="s">
        <v>32</v>
      </c>
      <c r="I18" s="8" t="s">
        <v>33</v>
      </c>
      <c r="J18" s="8" t="s">
        <v>34</v>
      </c>
      <c r="K18" s="8" t="s">
        <v>35</v>
      </c>
    </row>
    <row r="19" spans="1:11">
      <c r="A19" s="9">
        <v>24</v>
      </c>
      <c r="C19" s="14">
        <f>IF(D19="","",IF(1=fn_k,fn_max,D19+fn_ancho))</f>
        <v>24.0</v>
      </c>
      <c r="D19" s="14">
        <f>IF(OR(fn_n&lt;1,1&gt;N(fn_k)),"",fn_min+0*fn_ancho)</f>
        <v>18.0</v>
      </c>
      <c r="E19" s="5" t="str">
        <f>IF(D19="","","["&amp;FIXED(D19,fn_decimales,TRUE)&amp;"; "&amp;FIXED(C19,fn_decimales,TRUE)&amp;IF(1=fn_k,"]",")"))</f>
        <v>[18,0; 24,0)</v>
      </c>
      <c r="F19" s="15">
        <f>IF(D19="","",(D19+C19)/2)</f>
        <v>21.0</v>
      </c>
      <c r="G19" s="10">
        <f>IF(D19="","",SUMPRODUCT(ISNUMBER(fn_datos)*(fn_datos&gt;=D19)*((fn_datos&lt;C19)+(1=fn_k)*(fn_datos=C19))))</f>
        <v>5.0</v>
      </c>
      <c r="H19" s="11">
        <f>IF(D19="","",G19/fn_n)</f>
        <v>0.025</v>
      </c>
      <c r="I19" s="10">
        <f>IF(D19="","",SUM($G$19:G19))</f>
        <v>5.0</v>
      </c>
      <c r="J19" s="11">
        <f>IF(D19="","",I19/fn_n)</f>
        <v>0.025</v>
      </c>
      <c r="K19" s="12" t="str">
        <f>IF(OR(D19="",N(G19)=0),"",REPT("█",ROUND(30*G19/MAX($G$19:$G$43),0)))</f>
        <v>████</v>
      </c>
    </row>
    <row r="20" spans="1:11">
      <c r="A20" s="9">
        <v>52</v>
      </c>
      <c r="C20" s="14">
        <f>IF(D20="","",IF(2=fn_k,fn_max,D20+fn_ancho))</f>
        <v>30.0</v>
      </c>
      <c r="D20" s="14">
        <f>IF(OR(fn_n&lt;1,2&gt;N(fn_k)),"",fn_min+1*fn_ancho)</f>
        <v>24.0</v>
      </c>
      <c r="E20" s="5" t="str">
        <f>IF(D20="","","["&amp;FIXED(D20,fn_decimales,TRUE)&amp;"; "&amp;FIXED(C20,fn_decimales,TRUE)&amp;IF(2=fn_k,"]",")"))</f>
        <v>[24,0; 30,0)</v>
      </c>
      <c r="F20" s="15">
        <f>IF(D20="","",(D20+C20)/2)</f>
        <v>27.0</v>
      </c>
      <c r="G20" s="10">
        <f>IF(D20="","",SUMPRODUCT(ISNUMBER(fn_datos)*(fn_datos&gt;=D20)*((fn_datos&lt;C20)+(2=fn_k)*(fn_datos=C20))))</f>
        <v>18.0</v>
      </c>
      <c r="H20" s="11">
        <f>IF(D20="","",G20/fn_n)</f>
        <v>0.09</v>
      </c>
      <c r="I20" s="10">
        <f>IF(D20="","",SUM($G$19:G20))</f>
        <v>23.0</v>
      </c>
      <c r="J20" s="11">
        <f>IF(D20="","",I20/fn_n)</f>
        <v>0.115</v>
      </c>
      <c r="K20" s="12" t="str">
        <f>IF(OR(D20="",N(G20)=0),"",REPT("█",ROUND(30*G20/MAX($G$19:$G$43),0)))</f>
        <v>███████████████</v>
      </c>
    </row>
    <row r="21" spans="1:11">
      <c r="A21" s="9">
        <v>46</v>
      </c>
      <c r="C21" s="14">
        <f>IF(D21="","",IF(3=fn_k,fn_max,D21+fn_ancho))</f>
        <v>36.0</v>
      </c>
      <c r="D21" s="14">
        <f>IF(OR(fn_n&lt;1,3&gt;N(fn_k)),"",fn_min+2*fn_ancho)</f>
        <v>30.0</v>
      </c>
      <c r="E21" s="5" t="str">
        <f>IF(D21="","","["&amp;FIXED(D21,fn_decimales,TRUE)&amp;"; "&amp;FIXED(C21,fn_decimales,TRUE)&amp;IF(3=fn_k,"]",")"))</f>
        <v>[30,0; 36,0)</v>
      </c>
      <c r="F21" s="15">
        <f>IF(D21="","",(D21+C21)/2)</f>
        <v>33.0</v>
      </c>
      <c r="G21" s="10">
        <f>IF(D21="","",SUMPRODUCT(ISNUMBER(fn_datos)*(fn_datos&gt;=D21)*((fn_datos&lt;C21)+(3=fn_k)*(fn_datos=C21))))</f>
        <v>16.0</v>
      </c>
      <c r="H21" s="11">
        <f>IF(D21="","",G21/fn_n)</f>
        <v>0.08</v>
      </c>
      <c r="I21" s="10">
        <f>IF(D21="","",SUM($G$19:G21))</f>
        <v>39.0</v>
      </c>
      <c r="J21" s="11">
        <f>IF(D21="","",I21/fn_n)</f>
        <v>0.195</v>
      </c>
      <c r="K21" s="12" t="str">
        <f>IF(OR(D21="",N(G21)=0),"",REPT("█",ROUND(30*G21/MAX($G$19:$G$43),0)))</f>
        <v>█████████████</v>
      </c>
    </row>
    <row r="22" spans="1:11">
      <c r="A22" s="9">
        <v>44</v>
      </c>
      <c r="C22" s="14">
        <f>IF(D22="","",IF(4=fn_k,fn_max,D22+fn_ancho))</f>
        <v>42.0</v>
      </c>
      <c r="D22" s="14">
        <f>IF(OR(fn_n&lt;1,4&gt;N(fn_k)),"",fn_min+3*fn_ancho)</f>
        <v>36.0</v>
      </c>
      <c r="E22" s="5" t="str">
        <f>IF(D22="","","["&amp;FIXED(D22,fn_decimales,TRUE)&amp;"; "&amp;FIXED(C22,fn_decimales,TRUE)&amp;IF(4=fn_k,"]",")"))</f>
        <v>[36,0; 42,0)</v>
      </c>
      <c r="F22" s="15">
        <f>IF(D22="","",(D22+C22)/2)</f>
        <v>39.0</v>
      </c>
      <c r="G22" s="10">
        <f>IF(D22="","",SUMPRODUCT(ISNUMBER(fn_datos)*(fn_datos&gt;=D22)*((fn_datos&lt;C22)+(4=fn_k)*(fn_datos=C22))))</f>
        <v>36.0</v>
      </c>
      <c r="H22" s="11">
        <f>IF(D22="","",G22/fn_n)</f>
        <v>0.18</v>
      </c>
      <c r="I22" s="10">
        <f>IF(D22="","",SUM($G$19:G22))</f>
        <v>75.0</v>
      </c>
      <c r="J22" s="11">
        <f>IF(D22="","",I22/fn_n)</f>
        <v>0.375</v>
      </c>
      <c r="K22" s="12" t="str">
        <f>IF(OR(D22="",N(G22)=0),"",REPT("█",ROUND(30*G22/MAX($G$19:$G$43),0)))</f>
        <v>█████████████████████████████</v>
      </c>
    </row>
    <row r="23" spans="1:11">
      <c r="A23" s="9">
        <v>40</v>
      </c>
      <c r="C23" s="14">
        <f>IF(D23="","",IF(5=fn_k,fn_max,D23+fn_ancho))</f>
        <v>48.0</v>
      </c>
      <c r="D23" s="14">
        <f>IF(OR(fn_n&lt;1,5&gt;N(fn_k)),"",fn_min+4*fn_ancho)</f>
        <v>42.0</v>
      </c>
      <c r="E23" s="5" t="str">
        <f>IF(D23="","","["&amp;FIXED(D23,fn_decimales,TRUE)&amp;"; "&amp;FIXED(C23,fn_decimales,TRUE)&amp;IF(5=fn_k,"]",")"))</f>
        <v>[42,0; 48,0)</v>
      </c>
      <c r="F23" s="15">
        <f>IF(D23="","",(D23+C23)/2)</f>
        <v>45.0</v>
      </c>
      <c r="G23" s="10">
        <f>IF(D23="","",SUMPRODUCT(ISNUMBER(fn_datos)*(fn_datos&gt;=D23)*((fn_datos&lt;C23)+(5=fn_k)*(fn_datos=C23))))</f>
        <v>37.0</v>
      </c>
      <c r="H23" s="11">
        <f>IF(D23="","",G23/fn_n)</f>
        <v>0.185</v>
      </c>
      <c r="I23" s="10">
        <f>IF(D23="","",SUM($G$19:G23))</f>
        <v>112.0</v>
      </c>
      <c r="J23" s="11">
        <f>IF(D23="","",I23/fn_n)</f>
        <v>0.56</v>
      </c>
      <c r="K23" s="12" t="str">
        <f>IF(OR(D23="",N(G23)=0),"",REPT("█",ROUND(30*G23/MAX($G$19:$G$43),0)))</f>
        <v>██████████████████████████████</v>
      </c>
    </row>
    <row r="24" spans="1:11">
      <c r="A24" s="9">
        <v>54</v>
      </c>
      <c r="C24" s="14">
        <f>IF(D24="","",IF(6=fn_k,fn_max,D24+fn_ancho))</f>
        <v>54.0</v>
      </c>
      <c r="D24" s="14">
        <f>IF(OR(fn_n&lt;1,6&gt;N(fn_k)),"",fn_min+5*fn_ancho)</f>
        <v>48.0</v>
      </c>
      <c r="E24" s="5" t="str">
        <f>IF(D24="","","["&amp;FIXED(D24,fn_decimales,TRUE)&amp;"; "&amp;FIXED(C24,fn_decimales,TRUE)&amp;IF(6=fn_k,"]",")"))</f>
        <v>[48,0; 54,0)</v>
      </c>
      <c r="F24" s="15">
        <f>IF(D24="","",(D24+C24)/2)</f>
        <v>51.0</v>
      </c>
      <c r="G24" s="10">
        <f>IF(D24="","",SUMPRODUCT(ISNUMBER(fn_datos)*(fn_datos&gt;=D24)*((fn_datos&lt;C24)+(6=fn_k)*(fn_datos=C24))))</f>
        <v>27.0</v>
      </c>
      <c r="H24" s="11">
        <f>IF(D24="","",G24/fn_n)</f>
        <v>0.135</v>
      </c>
      <c r="I24" s="10">
        <f>IF(D24="","",SUM($G$19:G24))</f>
        <v>139.0</v>
      </c>
      <c r="J24" s="11">
        <f>IF(D24="","",I24/fn_n)</f>
        <v>0.695</v>
      </c>
      <c r="K24" s="12" t="str">
        <f>IF(OR(D24="",N(G24)=0),"",REPT("█",ROUND(30*G24/MAX($G$19:$G$43),0)))</f>
        <v>██████████████████████</v>
      </c>
    </row>
    <row r="25" spans="1:11">
      <c r="A25" s="9">
        <v>64</v>
      </c>
      <c r="C25" s="14">
        <f>IF(D25="","",IF(7=fn_k,fn_max,D25+fn_ancho))</f>
        <v>60.0</v>
      </c>
      <c r="D25" s="14">
        <f>IF(OR(fn_n&lt;1,7&gt;N(fn_k)),"",fn_min+6*fn_ancho)</f>
        <v>54.0</v>
      </c>
      <c r="E25" s="5" t="str">
        <f>IF(D25="","","["&amp;FIXED(D25,fn_decimales,TRUE)&amp;"; "&amp;FIXED(C25,fn_decimales,TRUE)&amp;IF(7=fn_k,"]",")"))</f>
        <v>[54,0; 60,0)</v>
      </c>
      <c r="F25" s="15">
        <f>IF(D25="","",(D25+C25)/2)</f>
        <v>57.0</v>
      </c>
      <c r="G25" s="10">
        <f>IF(D25="","",SUMPRODUCT(ISNUMBER(fn_datos)*(fn_datos&gt;=D25)*((fn_datos&lt;C25)+(7=fn_k)*(fn_datos=C25))))</f>
        <v>19.0</v>
      </c>
      <c r="H25" s="11">
        <f>IF(D25="","",G25/fn_n)</f>
        <v>0.095</v>
      </c>
      <c r="I25" s="10">
        <f>IF(D25="","",SUM($G$19:G25))</f>
        <v>158.0</v>
      </c>
      <c r="J25" s="11">
        <f>IF(D25="","",I25/fn_n)</f>
        <v>0.79</v>
      </c>
      <c r="K25" s="12" t="str">
        <f>IF(OR(D25="",N(G25)=0),"",REPT("█",ROUND(30*G25/MAX($G$19:$G$43),0)))</f>
        <v>███████████████</v>
      </c>
    </row>
    <row r="26" spans="1:11">
      <c r="A26" s="9">
        <v>29</v>
      </c>
      <c r="C26" s="14">
        <f>IF(D26="","",IF(8=fn_k,fn_max,D26+fn_ancho))</f>
        <v>66.0</v>
      </c>
      <c r="D26" s="14">
        <f>IF(OR(fn_n&lt;1,8&gt;N(fn_k)),"",fn_min+7*fn_ancho)</f>
        <v>60.0</v>
      </c>
      <c r="E26" s="5" t="str">
        <f>IF(D26="","","["&amp;FIXED(D26,fn_decimales,TRUE)&amp;"; "&amp;FIXED(C26,fn_decimales,TRUE)&amp;IF(8=fn_k,"]",")"))</f>
        <v>[60,0; 66,0)</v>
      </c>
      <c r="F26" s="15">
        <f>IF(D26="","",(D26+C26)/2)</f>
        <v>63.0</v>
      </c>
      <c r="G26" s="10">
        <f>IF(D26="","",SUMPRODUCT(ISNUMBER(fn_datos)*(fn_datos&gt;=D26)*((fn_datos&lt;C26)+(8=fn_k)*(fn_datos=C26))))</f>
        <v>18.0</v>
      </c>
      <c r="H26" s="11">
        <f>IF(D26="","",G26/fn_n)</f>
        <v>0.09</v>
      </c>
      <c r="I26" s="10">
        <f>IF(D26="","",SUM($G$19:G26))</f>
        <v>176.0</v>
      </c>
      <c r="J26" s="11">
        <f>IF(D26="","",I26/fn_n)</f>
        <v>0.88</v>
      </c>
      <c r="K26" s="12" t="str">
        <f>IF(OR(D26="",N(G26)=0),"",REPT("█",ROUND(30*G26/MAX($G$19:$G$43),0)))</f>
        <v>███████████████</v>
      </c>
    </row>
    <row r="27" spans="1:11">
      <c r="A27" s="9">
        <v>43</v>
      </c>
      <c r="C27" s="14">
        <f>IF(D27="","",IF(9=fn_k,fn_max,D27+fn_ancho))</f>
        <v>72.0</v>
      </c>
      <c r="D27" s="14">
        <f>IF(OR(fn_n&lt;1,9&gt;N(fn_k)),"",fn_min+8*fn_ancho)</f>
        <v>66.0</v>
      </c>
      <c r="E27" s="5" t="str">
        <f>IF(D27="","","["&amp;FIXED(D27,fn_decimales,TRUE)&amp;"; "&amp;FIXED(C27,fn_decimales,TRUE)&amp;IF(9=fn_k,"]",")"))</f>
        <v>[66,0; 72,0)</v>
      </c>
      <c r="F27" s="15">
        <f>IF(D27="","",(D27+C27)/2)</f>
        <v>69.0</v>
      </c>
      <c r="G27" s="10">
        <f>IF(D27="","",SUMPRODUCT(ISNUMBER(fn_datos)*(fn_datos&gt;=D27)*((fn_datos&lt;C27)+(9=fn_k)*(fn_datos=C27))))</f>
        <v>6.0</v>
      </c>
      <c r="H27" s="11">
        <f>IF(D27="","",G27/fn_n)</f>
        <v>0.03</v>
      </c>
      <c r="I27" s="10">
        <f>IF(D27="","",SUM($G$19:G27))</f>
        <v>182.0</v>
      </c>
      <c r="J27" s="11">
        <f>IF(D27="","",I27/fn_n)</f>
        <v>0.91</v>
      </c>
      <c r="K27" s="12" t="str">
        <f>IF(OR(D27="",N(G27)=0),"",REPT("█",ROUND(30*G27/MAX($G$19:$G$43),0)))</f>
        <v>█████</v>
      </c>
    </row>
    <row r="28" spans="1:11">
      <c r="A28" s="9">
        <v>46</v>
      </c>
      <c r="C28" s="14">
        <f>IF(D28="","",IF(10=fn_k,fn_max,D28+fn_ancho))</f>
        <v>78.0</v>
      </c>
      <c r="D28" s="14">
        <f>IF(OR(fn_n&lt;1,10&gt;N(fn_k)),"",fn_min+9*fn_ancho)</f>
        <v>72.0</v>
      </c>
      <c r="E28" s="5" t="str">
        <f>IF(D28="","","["&amp;FIXED(D28,fn_decimales,TRUE)&amp;"; "&amp;FIXED(C28,fn_decimales,TRUE)&amp;IF(10=fn_k,"]",")"))</f>
        <v>[72,0; 78,0)</v>
      </c>
      <c r="F28" s="15">
        <f>IF(D28="","",(D28+C28)/2)</f>
        <v>75.0</v>
      </c>
      <c r="G28" s="10">
        <f>IF(D28="","",SUMPRODUCT(ISNUMBER(fn_datos)*(fn_datos&gt;=D28)*((fn_datos&lt;C28)+(10=fn_k)*(fn_datos=C28))))</f>
        <v>4.0</v>
      </c>
      <c r="H28" s="11">
        <f>IF(D28="","",G28/fn_n)</f>
        <v>0.02</v>
      </c>
      <c r="I28" s="10">
        <f>IF(D28="","",SUM($G$19:G28))</f>
        <v>186.0</v>
      </c>
      <c r="J28" s="11">
        <f>IF(D28="","",I28/fn_n)</f>
        <v>0.93</v>
      </c>
      <c r="K28" s="12" t="str">
        <f>IF(OR(D28="",N(G28)=0),"",REPT("█",ROUND(30*G28/MAX($G$19:$G$43),0)))</f>
        <v>███</v>
      </c>
    </row>
    <row r="29" spans="1:11">
      <c r="A29" s="9">
        <v>46</v>
      </c>
      <c r="C29" s="14">
        <f>IF(D29="","",IF(11=fn_k,fn_max,D29+fn_ancho))</f>
        <v>84.0</v>
      </c>
      <c r="D29" s="14">
        <f>IF(OR(fn_n&lt;1,11&gt;N(fn_k)),"",fn_min+10*fn_ancho)</f>
        <v>78.0</v>
      </c>
      <c r="E29" s="5" t="str">
        <f>IF(D29="","","["&amp;FIXED(D29,fn_decimales,TRUE)&amp;"; "&amp;FIXED(C29,fn_decimales,TRUE)&amp;IF(11=fn_k,"]",")"))</f>
        <v>[78,0; 84,0)</v>
      </c>
      <c r="F29" s="15">
        <f>IF(D29="","",(D29+C29)/2)</f>
        <v>81.0</v>
      </c>
      <c r="G29" s="10">
        <f>IF(D29="","",SUMPRODUCT(ISNUMBER(fn_datos)*(fn_datos&gt;=D29)*((fn_datos&lt;C29)+(11=fn_k)*(fn_datos=C29))))</f>
        <v>4.0</v>
      </c>
      <c r="H29" s="11">
        <f>IF(D29="","",G29/fn_n)</f>
        <v>0.02</v>
      </c>
      <c r="I29" s="10">
        <f>IF(D29="","",SUM($G$19:G29))</f>
        <v>190.0</v>
      </c>
      <c r="J29" s="11">
        <f>IF(D29="","",I29/fn_n)</f>
        <v>0.95</v>
      </c>
      <c r="K29" s="12" t="str">
        <f>IF(OR(D29="",N(G29)=0),"",REPT("█",ROUND(30*G29/MAX($G$19:$G$43),0)))</f>
        <v>███</v>
      </c>
    </row>
    <row r="30" spans="1:11">
      <c r="A30" s="9">
        <v>54</v>
      </c>
      <c r="C30" s="14">
        <f>IF(D30="","",IF(12=fn_k,fn_max,D30+fn_ancho))</f>
        <v>90.0</v>
      </c>
      <c r="D30" s="14">
        <f>IF(OR(fn_n&lt;1,12&gt;N(fn_k)),"",fn_min+11*fn_ancho)</f>
        <v>84.0</v>
      </c>
      <c r="E30" s="5" t="str">
        <f>IF(D30="","","["&amp;FIXED(D30,fn_decimales,TRUE)&amp;"; "&amp;FIXED(C30,fn_decimales,TRUE)&amp;IF(12=fn_k,"]",")"))</f>
        <v>[84,0; 90,0]</v>
      </c>
      <c r="F30" s="15">
        <f>IF(D30="","",(D30+C30)/2)</f>
        <v>87.0</v>
      </c>
      <c r="G30" s="10">
        <f>IF(D30="","",SUMPRODUCT(ISNUMBER(fn_datos)*(fn_datos&gt;=D30)*((fn_datos&lt;C30)+(12=fn_k)*(fn_datos=C30))))</f>
        <v>10.0</v>
      </c>
      <c r="H30" s="11">
        <f>IF(D30="","",G30/fn_n)</f>
        <v>0.05</v>
      </c>
      <c r="I30" s="10">
        <f>IF(D30="","",SUM($G$19:G30))</f>
        <v>200.0</v>
      </c>
      <c r="J30" s="11">
        <f>IF(D30="","",I30/fn_n)</f>
        <v>1.0</v>
      </c>
      <c r="K30" s="12" t="str">
        <f>IF(OR(D30="",N(G30)=0),"",REPT("█",ROUND(30*G30/MAX($G$19:$G$43),0)))</f>
        <v>████████</v>
      </c>
    </row>
    <row r="31" spans="1:11">
      <c r="A31" s="9">
        <v>42</v>
      </c>
      <c r="C31" s="14">
        <f>IF(D31="","",IF(13=fn_k,fn_max,D31+fn_ancho))</f>
        <v/>
      </c>
      <c r="D31" s="14">
        <f>IF(OR(fn_n&lt;1,13&gt;N(fn_k)),"",fn_min+12*fn_ancho)</f>
        <v/>
      </c>
      <c r="E31" s="5">
        <f>IF(D31="","","["&amp;FIXED(D31,fn_decimales,TRUE)&amp;"; "&amp;FIXED(C31,fn_decimales,TRUE)&amp;IF(13=fn_k,"]",")"))</f>
        <v/>
      </c>
      <c r="F31" s="15">
        <f>IF(D31="","",(D31+C31)/2)</f>
        <v/>
      </c>
      <c r="G31" s="10">
        <f>IF(D31="","",SUMPRODUCT(ISNUMBER(fn_datos)*(fn_datos&gt;=D31)*((fn_datos&lt;C31)+(13=fn_k)*(fn_datos=C31))))</f>
        <v/>
      </c>
      <c r="H31" s="11">
        <f>IF(D31="","",G31/fn_n)</f>
        <v/>
      </c>
      <c r="I31" s="10">
        <f>IF(D31="","",SUM($G$19:G31))</f>
        <v/>
      </c>
      <c r="J31" s="11">
        <f>IF(D31="","",I31/fn_n)</f>
        <v/>
      </c>
      <c r="K31" s="12">
        <f>IF(OR(D31="",N(G31)=0),"",REPT("█",ROUND(30*G31/MAX($G$19:$G$43),0)))</f>
        <v/>
      </c>
    </row>
    <row r="32" spans="1:11">
      <c r="A32" s="9">
        <v>35</v>
      </c>
      <c r="C32" s="14">
        <f>IF(D32="","",IF(14=fn_k,fn_max,D32+fn_ancho))</f>
        <v/>
      </c>
      <c r="D32" s="14">
        <f>IF(OR(fn_n&lt;1,14&gt;N(fn_k)),"",fn_min+13*fn_ancho)</f>
        <v/>
      </c>
      <c r="E32" s="5">
        <f>IF(D32="","","["&amp;FIXED(D32,fn_decimales,TRUE)&amp;"; "&amp;FIXED(C32,fn_decimales,TRUE)&amp;IF(14=fn_k,"]",")"))</f>
        <v/>
      </c>
      <c r="F32" s="15">
        <f>IF(D32="","",(D32+C32)/2)</f>
        <v/>
      </c>
      <c r="G32" s="10">
        <f>IF(D32="","",SUMPRODUCT(ISNUMBER(fn_datos)*(fn_datos&gt;=D32)*((fn_datos&lt;C32)+(14=fn_k)*(fn_datos=C32))))</f>
        <v/>
      </c>
      <c r="H32" s="11">
        <f>IF(D32="","",G32/fn_n)</f>
        <v/>
      </c>
      <c r="I32" s="10">
        <f>IF(D32="","",SUM($G$19:G32))</f>
        <v/>
      </c>
      <c r="J32" s="11">
        <f>IF(D32="","",I32/fn_n)</f>
        <v/>
      </c>
      <c r="K32" s="12">
        <f>IF(OR(D32="",N(G32)=0),"",REPT("█",ROUND(30*G32/MAX($G$19:$G$43),0)))</f>
        <v/>
      </c>
    </row>
    <row r="33" spans="1:11">
      <c r="A33" s="9">
        <v>53</v>
      </c>
      <c r="C33" s="14">
        <f>IF(D33="","",IF(15=fn_k,fn_max,D33+fn_ancho))</f>
        <v/>
      </c>
      <c r="D33" s="14">
        <f>IF(OR(fn_n&lt;1,15&gt;N(fn_k)),"",fn_min+14*fn_ancho)</f>
        <v/>
      </c>
      <c r="E33" s="5">
        <f>IF(D33="","","["&amp;FIXED(D33,fn_decimales,TRUE)&amp;"; "&amp;FIXED(C33,fn_decimales,TRUE)&amp;IF(15=fn_k,"]",")"))</f>
        <v/>
      </c>
      <c r="F33" s="15">
        <f>IF(D33="","",(D33+C33)/2)</f>
        <v/>
      </c>
      <c r="G33" s="10">
        <f>IF(D33="","",SUMPRODUCT(ISNUMBER(fn_datos)*(fn_datos&gt;=D33)*((fn_datos&lt;C33)+(15=fn_k)*(fn_datos=C33))))</f>
        <v/>
      </c>
      <c r="H33" s="11">
        <f>IF(D33="","",G33/fn_n)</f>
        <v/>
      </c>
      <c r="I33" s="10">
        <f>IF(D33="","",SUM($G$19:G33))</f>
        <v/>
      </c>
      <c r="J33" s="11">
        <f>IF(D33="","",I33/fn_n)</f>
        <v/>
      </c>
      <c r="K33" s="12">
        <f>IF(OR(D33="",N(G33)=0),"",REPT("█",ROUND(30*G33/MAX($G$19:$G$43),0)))</f>
        <v/>
      </c>
    </row>
    <row r="34" spans="1:11">
      <c r="A34" s="9">
        <v>62</v>
      </c>
      <c r="C34" s="14">
        <f>IF(D34="","",IF(16=fn_k,fn_max,D34+fn_ancho))</f>
        <v/>
      </c>
      <c r="D34" s="14">
        <f>IF(OR(fn_n&lt;1,16&gt;N(fn_k)),"",fn_min+15*fn_ancho)</f>
        <v/>
      </c>
      <c r="E34" s="5">
        <f>IF(D34="","","["&amp;FIXED(D34,fn_decimales,TRUE)&amp;"; "&amp;FIXED(C34,fn_decimales,TRUE)&amp;IF(16=fn_k,"]",")"))</f>
        <v/>
      </c>
      <c r="F34" s="15">
        <f>IF(D34="","",(D34+C34)/2)</f>
        <v/>
      </c>
      <c r="G34" s="10">
        <f>IF(D34="","",SUMPRODUCT(ISNUMBER(fn_datos)*(fn_datos&gt;=D34)*((fn_datos&lt;C34)+(16=fn_k)*(fn_datos=C34))))</f>
        <v/>
      </c>
      <c r="H34" s="11">
        <f>IF(D34="","",G34/fn_n)</f>
        <v/>
      </c>
      <c r="I34" s="10">
        <f>IF(D34="","",SUM($G$19:G34))</f>
        <v/>
      </c>
      <c r="J34" s="11">
        <f>IF(D34="","",I34/fn_n)</f>
        <v/>
      </c>
      <c r="K34" s="12">
        <f>IF(OR(D34="",N(G34)=0),"",REPT("█",ROUND(30*G34/MAX($G$19:$G$43),0)))</f>
        <v/>
      </c>
    </row>
    <row r="35" spans="1:11">
      <c r="A35" s="9">
        <v>46</v>
      </c>
      <c r="C35" s="14">
        <f>IF(D35="","",IF(17=fn_k,fn_max,D35+fn_ancho))</f>
        <v/>
      </c>
      <c r="D35" s="14">
        <f>IF(OR(fn_n&lt;1,17&gt;N(fn_k)),"",fn_min+16*fn_ancho)</f>
        <v/>
      </c>
      <c r="E35" s="5">
        <f>IF(D35="","","["&amp;FIXED(D35,fn_decimales,TRUE)&amp;"; "&amp;FIXED(C35,fn_decimales,TRUE)&amp;IF(17=fn_k,"]",")"))</f>
        <v/>
      </c>
      <c r="F35" s="15">
        <f>IF(D35="","",(D35+C35)/2)</f>
        <v/>
      </c>
      <c r="G35" s="10">
        <f>IF(D35="","",SUMPRODUCT(ISNUMBER(fn_datos)*(fn_datos&gt;=D35)*((fn_datos&lt;C35)+(17=fn_k)*(fn_datos=C35))))</f>
        <v/>
      </c>
      <c r="H35" s="11">
        <f>IF(D35="","",G35/fn_n)</f>
        <v/>
      </c>
      <c r="I35" s="10">
        <f>IF(D35="","",SUM($G$19:G35))</f>
        <v/>
      </c>
      <c r="J35" s="11">
        <f>IF(D35="","",I35/fn_n)</f>
        <v/>
      </c>
      <c r="K35" s="12">
        <f>IF(OR(D35="",N(G35)=0),"",REPT("█",ROUND(30*G35/MAX($G$19:$G$43),0)))</f>
        <v/>
      </c>
    </row>
    <row r="36" spans="1:11">
      <c r="A36" s="9">
        <v>89</v>
      </c>
      <c r="C36" s="14">
        <f>IF(D36="","",IF(18=fn_k,fn_max,D36+fn_ancho))</f>
        <v/>
      </c>
      <c r="D36" s="14">
        <f>IF(OR(fn_n&lt;1,18&gt;N(fn_k)),"",fn_min+17*fn_ancho)</f>
        <v/>
      </c>
      <c r="E36" s="5">
        <f>IF(D36="","","["&amp;FIXED(D36,fn_decimales,TRUE)&amp;"; "&amp;FIXED(C36,fn_decimales,TRUE)&amp;IF(18=fn_k,"]",")"))</f>
        <v/>
      </c>
      <c r="F36" s="15">
        <f>IF(D36="","",(D36+C36)/2)</f>
        <v/>
      </c>
      <c r="G36" s="10">
        <f>IF(D36="","",SUMPRODUCT(ISNUMBER(fn_datos)*(fn_datos&gt;=D36)*((fn_datos&lt;C36)+(18=fn_k)*(fn_datos=C36))))</f>
        <v/>
      </c>
      <c r="H36" s="11">
        <f>IF(D36="","",G36/fn_n)</f>
        <v/>
      </c>
      <c r="I36" s="10">
        <f>IF(D36="","",SUM($G$19:G36))</f>
        <v/>
      </c>
      <c r="J36" s="11">
        <f>IF(D36="","",I36/fn_n)</f>
        <v/>
      </c>
      <c r="K36" s="12">
        <f>IF(OR(D36="",N(G36)=0),"",REPT("█",ROUND(30*G36/MAX($G$19:$G$43),0)))</f>
        <v/>
      </c>
    </row>
    <row r="37" spans="1:11">
      <c r="A37" s="9">
        <v>53</v>
      </c>
      <c r="C37" s="14">
        <f>IF(D37="","",IF(19=fn_k,fn_max,D37+fn_ancho))</f>
        <v/>
      </c>
      <c r="D37" s="14">
        <f>IF(OR(fn_n&lt;1,19&gt;N(fn_k)),"",fn_min+18*fn_ancho)</f>
        <v/>
      </c>
      <c r="E37" s="5">
        <f>IF(D37="","","["&amp;FIXED(D37,fn_decimales,TRUE)&amp;"; "&amp;FIXED(C37,fn_decimales,TRUE)&amp;IF(19=fn_k,"]",")"))</f>
        <v/>
      </c>
      <c r="F37" s="15">
        <f>IF(D37="","",(D37+C37)/2)</f>
        <v/>
      </c>
      <c r="G37" s="10">
        <f>IF(D37="","",SUMPRODUCT(ISNUMBER(fn_datos)*(fn_datos&gt;=D37)*((fn_datos&lt;C37)+(19=fn_k)*(fn_datos=C37))))</f>
        <v/>
      </c>
      <c r="H37" s="11">
        <f>IF(D37="","",G37/fn_n)</f>
        <v/>
      </c>
      <c r="I37" s="10">
        <f>IF(D37="","",SUM($G$19:G37))</f>
        <v/>
      </c>
      <c r="J37" s="11">
        <f>IF(D37="","",I37/fn_n)</f>
        <v/>
      </c>
      <c r="K37" s="12">
        <f>IF(OR(D37="",N(G37)=0),"",REPT("█",ROUND(30*G37/MAX($G$19:$G$43),0)))</f>
        <v/>
      </c>
    </row>
    <row r="38" spans="1:11">
      <c r="A38" s="9">
        <v>50</v>
      </c>
      <c r="C38" s="14">
        <f>IF(D38="","",IF(20=fn_k,fn_max,D38+fn_ancho))</f>
        <v/>
      </c>
      <c r="D38" s="14">
        <f>IF(OR(fn_n&lt;1,20&gt;N(fn_k)),"",fn_min+19*fn_ancho)</f>
        <v/>
      </c>
      <c r="E38" s="5">
        <f>IF(D38="","","["&amp;FIXED(D38,fn_decimales,TRUE)&amp;"; "&amp;FIXED(C38,fn_decimales,TRUE)&amp;IF(20=fn_k,"]",")"))</f>
        <v/>
      </c>
      <c r="F38" s="15">
        <f>IF(D38="","",(D38+C38)/2)</f>
        <v/>
      </c>
      <c r="G38" s="10">
        <f>IF(D38="","",SUMPRODUCT(ISNUMBER(fn_datos)*(fn_datos&gt;=D38)*((fn_datos&lt;C38)+(20=fn_k)*(fn_datos=C38))))</f>
        <v/>
      </c>
      <c r="H38" s="11">
        <f>IF(D38="","",G38/fn_n)</f>
        <v/>
      </c>
      <c r="I38" s="10">
        <f>IF(D38="","",SUM($G$19:G38))</f>
        <v/>
      </c>
      <c r="J38" s="11">
        <f>IF(D38="","",I38/fn_n)</f>
        <v/>
      </c>
      <c r="K38" s="12">
        <f>IF(OR(D38="",N(G38)=0),"",REPT("█",ROUND(30*G38/MAX($G$19:$G$43),0)))</f>
        <v/>
      </c>
    </row>
    <row r="39" spans="1:11">
      <c r="A39" s="9">
        <v>61</v>
      </c>
      <c r="C39" s="14">
        <f>IF(D39="","",IF(21=fn_k,fn_max,D39+fn_ancho))</f>
        <v/>
      </c>
      <c r="D39" s="14">
        <f>IF(OR(fn_n&lt;1,21&gt;N(fn_k)),"",fn_min+20*fn_ancho)</f>
        <v/>
      </c>
      <c r="E39" s="5">
        <f>IF(D39="","","["&amp;FIXED(D39,fn_decimales,TRUE)&amp;"; "&amp;FIXED(C39,fn_decimales,TRUE)&amp;IF(21=fn_k,"]",")"))</f>
        <v/>
      </c>
      <c r="F39" s="15">
        <f>IF(D39="","",(D39+C39)/2)</f>
        <v/>
      </c>
      <c r="G39" s="10">
        <f>IF(D39="","",SUMPRODUCT(ISNUMBER(fn_datos)*(fn_datos&gt;=D39)*((fn_datos&lt;C39)+(21=fn_k)*(fn_datos=C39))))</f>
        <v/>
      </c>
      <c r="H39" s="11">
        <f>IF(D39="","",G39/fn_n)</f>
        <v/>
      </c>
      <c r="I39" s="10">
        <f>IF(D39="","",SUM($G$19:G39))</f>
        <v/>
      </c>
      <c r="J39" s="11">
        <f>IF(D39="","",I39/fn_n)</f>
        <v/>
      </c>
      <c r="K39" s="12">
        <f>IF(OR(D39="",N(G39)=0),"",REPT("█",ROUND(30*G39/MAX($G$19:$G$43),0)))</f>
        <v/>
      </c>
    </row>
    <row r="40" spans="1:11">
      <c r="A40" s="9">
        <v>77</v>
      </c>
      <c r="C40" s="14">
        <f>IF(D40="","",IF(22=fn_k,fn_max,D40+fn_ancho))</f>
        <v/>
      </c>
      <c r="D40" s="14">
        <f>IF(OR(fn_n&lt;1,22&gt;N(fn_k)),"",fn_min+21*fn_ancho)</f>
        <v/>
      </c>
      <c r="E40" s="5">
        <f>IF(D40="","","["&amp;FIXED(D40,fn_decimales,TRUE)&amp;"; "&amp;FIXED(C40,fn_decimales,TRUE)&amp;IF(22=fn_k,"]",")"))</f>
        <v/>
      </c>
      <c r="F40" s="15">
        <f>IF(D40="","",(D40+C40)/2)</f>
        <v/>
      </c>
      <c r="G40" s="10">
        <f>IF(D40="","",SUMPRODUCT(ISNUMBER(fn_datos)*(fn_datos&gt;=D40)*((fn_datos&lt;C40)+(22=fn_k)*(fn_datos=C40))))</f>
        <v/>
      </c>
      <c r="H40" s="11">
        <f>IF(D40="","",G40/fn_n)</f>
        <v/>
      </c>
      <c r="I40" s="10">
        <f>IF(D40="","",SUM($G$19:G40))</f>
        <v/>
      </c>
      <c r="J40" s="11">
        <f>IF(D40="","",I40/fn_n)</f>
        <v/>
      </c>
      <c r="K40" s="12">
        <f>IF(OR(D40="",N(G40)=0),"",REPT("█",ROUND(30*G40/MAX($G$19:$G$43),0)))</f>
        <v/>
      </c>
    </row>
    <row r="41" spans="1:11">
      <c r="A41" s="9">
        <v>59</v>
      </c>
      <c r="C41" s="14">
        <f>IF(D41="","",IF(23=fn_k,fn_max,D41+fn_ancho))</f>
        <v/>
      </c>
      <c r="D41" s="14">
        <f>IF(OR(fn_n&lt;1,23&gt;N(fn_k)),"",fn_min+22*fn_ancho)</f>
        <v/>
      </c>
      <c r="E41" s="5">
        <f>IF(D41="","","["&amp;FIXED(D41,fn_decimales,TRUE)&amp;"; "&amp;FIXED(C41,fn_decimales,TRUE)&amp;IF(23=fn_k,"]",")"))</f>
        <v/>
      </c>
      <c r="F41" s="15">
        <f>IF(D41="","",(D41+C41)/2)</f>
        <v/>
      </c>
      <c r="G41" s="10">
        <f>IF(D41="","",SUMPRODUCT(ISNUMBER(fn_datos)*(fn_datos&gt;=D41)*((fn_datos&lt;C41)+(23=fn_k)*(fn_datos=C41))))</f>
        <v/>
      </c>
      <c r="H41" s="11">
        <f>IF(D41="","",G41/fn_n)</f>
        <v/>
      </c>
      <c r="I41" s="10">
        <f>IF(D41="","",SUM($G$19:G41))</f>
        <v/>
      </c>
      <c r="J41" s="11">
        <f>IF(D41="","",I41/fn_n)</f>
        <v/>
      </c>
      <c r="K41" s="12">
        <f>IF(OR(D41="",N(G41)=0),"",REPT("█",ROUND(30*G41/MAX($G$19:$G$43),0)))</f>
        <v/>
      </c>
    </row>
    <row r="42" spans="1:11">
      <c r="A42" s="9">
        <v>22</v>
      </c>
      <c r="C42" s="14">
        <f>IF(D42="","",IF(24=fn_k,fn_max,D42+fn_ancho))</f>
        <v/>
      </c>
      <c r="D42" s="14">
        <f>IF(OR(fn_n&lt;1,24&gt;N(fn_k)),"",fn_min+23*fn_ancho)</f>
        <v/>
      </c>
      <c r="E42" s="5">
        <f>IF(D42="","","["&amp;FIXED(D42,fn_decimales,TRUE)&amp;"; "&amp;FIXED(C42,fn_decimales,TRUE)&amp;IF(24=fn_k,"]",")"))</f>
        <v/>
      </c>
      <c r="F42" s="15">
        <f>IF(D42="","",(D42+C42)/2)</f>
        <v/>
      </c>
      <c r="G42" s="10">
        <f>IF(D42="","",SUMPRODUCT(ISNUMBER(fn_datos)*(fn_datos&gt;=D42)*((fn_datos&lt;C42)+(24=fn_k)*(fn_datos=C42))))</f>
        <v/>
      </c>
      <c r="H42" s="11">
        <f>IF(D42="","",G42/fn_n)</f>
        <v/>
      </c>
      <c r="I42" s="10">
        <f>IF(D42="","",SUM($G$19:G42))</f>
        <v/>
      </c>
      <c r="J42" s="11">
        <f>IF(D42="","",I42/fn_n)</f>
        <v/>
      </c>
      <c r="K42" s="12">
        <f>IF(OR(D42="",N(G42)=0),"",REPT("█",ROUND(30*G42/MAX($G$19:$G$43),0)))</f>
        <v/>
      </c>
    </row>
    <row r="43" spans="1:11">
      <c r="A43" s="9">
        <v>61</v>
      </c>
      <c r="C43" s="14">
        <f>IF(D43="","",IF(25=fn_k,fn_max,D43+fn_ancho))</f>
        <v/>
      </c>
      <c r="D43" s="14">
        <f>IF(OR(fn_n&lt;1,25&gt;N(fn_k)),"",fn_min+24*fn_ancho)</f>
        <v/>
      </c>
      <c r="E43" s="5">
        <f>IF(D43="","","["&amp;FIXED(D43,fn_decimales,TRUE)&amp;"; "&amp;FIXED(C43,fn_decimales,TRUE)&amp;IF(25=fn_k,"]",")"))</f>
        <v/>
      </c>
      <c r="F43" s="15">
        <f>IF(D43="","",(D43+C43)/2)</f>
        <v/>
      </c>
      <c r="G43" s="10">
        <f>IF(D43="","",SUMPRODUCT(ISNUMBER(fn_datos)*(fn_datos&gt;=D43)*((fn_datos&lt;C43)+(25=fn_k)*(fn_datos=C43))))</f>
        <v/>
      </c>
      <c r="H43" s="11">
        <f>IF(D43="","",G43/fn_n)</f>
        <v/>
      </c>
      <c r="I43" s="10">
        <f>IF(D43="","",SUM($G$19:G43))</f>
        <v/>
      </c>
      <c r="J43" s="11">
        <f>IF(D43="","",I43/fn_n)</f>
        <v/>
      </c>
      <c r="K43" s="12">
        <f>IF(OR(D43="",N(G43)=0),"",REPT("█",ROUND(30*G43/MAX($G$19:$G$43),0)))</f>
        <v/>
      </c>
    </row>
    <row r="44" spans="1:11">
      <c r="A44" s="9">
        <v>34</v>
      </c>
      <c r="E44" s="8" t="s">
        <v>36</v>
      </c>
      <c r="G44" s="10">
        <f>SUM(G19:G43)</f>
        <v>200.0</v>
      </c>
    </row>
    <row r="45" spans="1:11">
      <c r="A45" s="9">
        <v>47</v>
      </c>
    </row>
    <row r="46" spans="1:11">
      <c r="A46" s="9">
        <v>25</v>
      </c>
      <c r="C46" s="7" t="s">
        <v>58</v>
      </c>
    </row>
    <row r="47" spans="1:11">
      <c r="A47" s="9">
        <v>43</v>
      </c>
    </row>
    <row r="48" spans="1:11">
      <c r="A48" s="9">
        <v>36</v>
      </c>
    </row>
    <row r="49" spans="1:1">
      <c r="A49" s="9">
        <v>39</v>
      </c>
    </row>
    <row r="50" spans="1:1">
      <c r="A50" s="9">
        <v>49</v>
      </c>
    </row>
    <row r="51" spans="1:1">
      <c r="A51" s="9">
        <v>43</v>
      </c>
    </row>
    <row r="52" spans="1:1">
      <c r="A52" s="9">
        <v>90</v>
      </c>
    </row>
    <row r="53" spans="1:1">
      <c r="A53" s="9">
        <v>25</v>
      </c>
    </row>
    <row r="54" spans="1:1">
      <c r="A54" s="9">
        <v>36</v>
      </c>
    </row>
    <row r="55" spans="1:1">
      <c r="A55" s="9">
        <v>45</v>
      </c>
    </row>
    <row r="56" spans="1:1">
      <c r="A56" s="9">
        <v>69</v>
      </c>
    </row>
    <row r="57" spans="1:1">
      <c r="A57" s="9">
        <v>38</v>
      </c>
    </row>
    <row r="58" spans="1:1">
      <c r="A58" s="9">
        <v>39</v>
      </c>
    </row>
    <row r="59" spans="1:1">
      <c r="A59" s="9">
        <v>63</v>
      </c>
    </row>
    <row r="60" spans="1:1">
      <c r="A60" s="9">
        <v>90</v>
      </c>
    </row>
    <row r="61" spans="1:1">
      <c r="A61" s="9">
        <v>27</v>
      </c>
    </row>
    <row r="62" spans="1:1">
      <c r="A62" s="9">
        <v>58</v>
      </c>
    </row>
    <row r="63" spans="1:1">
      <c r="A63" s="9">
        <v>50</v>
      </c>
    </row>
    <row r="64" spans="1:1">
      <c r="A64" s="9">
        <v>60</v>
      </c>
    </row>
    <row r="65" spans="1:1">
      <c r="A65" s="9">
        <v>53</v>
      </c>
    </row>
    <row r="66" spans="1:1">
      <c r="A66" s="9">
        <v>43</v>
      </c>
    </row>
    <row r="67" spans="1:1">
      <c r="A67" s="9">
        <v>45</v>
      </c>
    </row>
    <row r="68" spans="1:1">
      <c r="A68" s="9">
        <v>34</v>
      </c>
    </row>
    <row r="69" spans="1:1">
      <c r="A69" s="9">
        <v>44</v>
      </c>
    </row>
    <row r="70" spans="1:1">
      <c r="A70" s="9">
        <v>52</v>
      </c>
    </row>
    <row r="71" spans="1:1">
      <c r="A71" s="9">
        <v>39</v>
      </c>
    </row>
    <row r="72" spans="1:1">
      <c r="A72" s="9">
        <v>88</v>
      </c>
    </row>
    <row r="73" spans="1:1">
      <c r="A73" s="9">
        <v>66</v>
      </c>
    </row>
    <row r="74" spans="1:1">
      <c r="A74" s="9">
        <v>46</v>
      </c>
    </row>
    <row r="75" spans="1:1">
      <c r="A75" s="9">
        <v>74</v>
      </c>
    </row>
    <row r="76" spans="1:1">
      <c r="A76" s="9">
        <v>62</v>
      </c>
    </row>
    <row r="77" spans="1:1">
      <c r="A77" s="9">
        <v>33</v>
      </c>
    </row>
    <row r="78" spans="1:1">
      <c r="A78" s="9">
        <v>44</v>
      </c>
    </row>
    <row r="79" spans="1:1">
      <c r="A79" s="9">
        <v>52</v>
      </c>
    </row>
    <row r="80" spans="1:1">
      <c r="A80" s="9">
        <v>33</v>
      </c>
    </row>
    <row r="81" spans="1:1">
      <c r="A81" s="9">
        <v>90</v>
      </c>
    </row>
    <row r="82" spans="1:1">
      <c r="A82" s="9">
        <v>53</v>
      </c>
    </row>
    <row r="83" spans="1:1">
      <c r="A83" s="9">
        <v>23</v>
      </c>
    </row>
    <row r="84" spans="1:1">
      <c r="A84" s="9">
        <v>65</v>
      </c>
    </row>
    <row r="85" spans="1:1">
      <c r="A85" s="9">
        <v>27</v>
      </c>
    </row>
    <row r="86" spans="1:1">
      <c r="A86" s="9">
        <v>51</v>
      </c>
    </row>
    <row r="87" spans="1:1">
      <c r="A87" s="9">
        <v>60</v>
      </c>
    </row>
    <row r="88" spans="1:1">
      <c r="A88" s="9">
        <v>42</v>
      </c>
    </row>
    <row r="89" spans="1:1">
      <c r="A89" s="9">
        <v>90</v>
      </c>
    </row>
    <row r="90" spans="1:1">
      <c r="A90" s="9">
        <v>62</v>
      </c>
    </row>
    <row r="91" spans="1:1">
      <c r="A91" s="9">
        <v>40</v>
      </c>
    </row>
    <row r="92" spans="1:1">
      <c r="A92" s="9">
        <v>27</v>
      </c>
    </row>
    <row r="93" spans="1:1">
      <c r="A93" s="9">
        <v>40</v>
      </c>
    </row>
    <row r="94" spans="1:1">
      <c r="A94" s="9">
        <v>41</v>
      </c>
    </row>
    <row r="95" spans="1:1">
      <c r="A95" s="9">
        <v>48</v>
      </c>
    </row>
    <row r="96" spans="1:1">
      <c r="A96" s="9">
        <v>34</v>
      </c>
    </row>
    <row r="97" spans="1:1">
      <c r="A97" s="9">
        <v>46</v>
      </c>
    </row>
    <row r="98" spans="1:1">
      <c r="A98" s="9">
        <v>82</v>
      </c>
    </row>
    <row r="99" spans="1:1">
      <c r="A99" s="9">
        <v>54</v>
      </c>
    </row>
    <row r="100" spans="1:1">
      <c r="A100" s="9">
        <v>25</v>
      </c>
    </row>
    <row r="101" spans="1:1">
      <c r="A101" s="9">
        <v>52</v>
      </c>
    </row>
    <row r="102" spans="1:1">
      <c r="A102" s="9">
        <v>31</v>
      </c>
    </row>
    <row r="103" spans="1:1">
      <c r="A103" s="9">
        <v>41</v>
      </c>
    </row>
    <row r="104" spans="1:1">
      <c r="A104" s="9">
        <v>26</v>
      </c>
    </row>
    <row r="105" spans="1:1">
      <c r="A105" s="9">
        <v>50</v>
      </c>
    </row>
    <row r="106" spans="1:1">
      <c r="A106" s="9">
        <v>51</v>
      </c>
    </row>
    <row r="107" spans="1:1">
      <c r="A107" s="9">
        <v>42</v>
      </c>
    </row>
    <row r="108" spans="1:1">
      <c r="A108" s="9">
        <v>49</v>
      </c>
    </row>
    <row r="109" spans="1:1">
      <c r="A109" s="9">
        <v>26</v>
      </c>
    </row>
    <row r="110" spans="1:1">
      <c r="A110" s="9">
        <v>81</v>
      </c>
    </row>
    <row r="111" spans="1:1">
      <c r="A111" s="9">
        <v>44</v>
      </c>
    </row>
    <row r="112" spans="1:1">
      <c r="A112" s="9">
        <v>33</v>
      </c>
    </row>
    <row r="113" spans="1:1">
      <c r="A113" s="9">
        <v>76</v>
      </c>
    </row>
    <row r="114" spans="1:1">
      <c r="A114" s="9">
        <v>50</v>
      </c>
    </row>
    <row r="115" spans="1:1">
      <c r="A115" s="9">
        <v>60</v>
      </c>
    </row>
    <row r="116" spans="1:1">
      <c r="A116" s="9">
        <v>41</v>
      </c>
    </row>
    <row r="117" spans="1:1">
      <c r="A117" s="9">
        <v>66</v>
      </c>
    </row>
    <row r="118" spans="1:1">
      <c r="A118" s="9">
        <v>42</v>
      </c>
    </row>
    <row r="119" spans="1:1">
      <c r="A119" s="9">
        <v>55</v>
      </c>
    </row>
    <row r="120" spans="1:1">
      <c r="A120" s="9">
        <v>46</v>
      </c>
    </row>
    <row r="121" spans="1:1">
      <c r="A121" s="9">
        <v>55</v>
      </c>
    </row>
    <row r="122" spans="1:1">
      <c r="A122" s="9">
        <v>39</v>
      </c>
    </row>
    <row r="123" spans="1:1">
      <c r="A123" s="9">
        <v>77</v>
      </c>
    </row>
    <row r="124" spans="1:1">
      <c r="A124" s="9">
        <v>53</v>
      </c>
    </row>
    <row r="125" spans="1:1">
      <c r="A125" s="9">
        <v>56</v>
      </c>
    </row>
    <row r="126" spans="1:1">
      <c r="A126" s="9">
        <v>37</v>
      </c>
    </row>
    <row r="127" spans="1:1">
      <c r="A127" s="9">
        <v>43</v>
      </c>
    </row>
    <row r="128" spans="1:1">
      <c r="A128" s="9">
        <v>44</v>
      </c>
    </row>
    <row r="129" spans="1:1">
      <c r="A129" s="9">
        <v>56</v>
      </c>
    </row>
    <row r="130" spans="1:1">
      <c r="A130" s="9">
        <v>46</v>
      </c>
    </row>
    <row r="131" spans="1:1">
      <c r="A131" s="9">
        <v>58</v>
      </c>
    </row>
    <row r="132" spans="1:1">
      <c r="A132" s="9">
        <v>65</v>
      </c>
    </row>
    <row r="133" spans="1:1">
      <c r="A133" s="9">
        <v>37</v>
      </c>
    </row>
    <row r="134" spans="1:1">
      <c r="A134" s="9">
        <v>44</v>
      </c>
    </row>
    <row r="135" spans="1:1">
      <c r="A135" s="9">
        <v>48</v>
      </c>
    </row>
    <row r="136" spans="1:1">
      <c r="A136" s="9">
        <v>33</v>
      </c>
    </row>
    <row r="137" spans="1:1">
      <c r="A137" s="9">
        <v>52</v>
      </c>
    </row>
    <row r="138" spans="1:1">
      <c r="A138" s="9">
        <v>30</v>
      </c>
    </row>
    <row r="139" spans="1:1">
      <c r="A139" s="9">
        <v>50</v>
      </c>
    </row>
    <row r="140" spans="1:1">
      <c r="A140" s="9">
        <v>29</v>
      </c>
    </row>
    <row r="141" spans="1:1">
      <c r="A141" s="9">
        <v>38</v>
      </c>
    </row>
    <row r="142" spans="1:1">
      <c r="A142" s="9">
        <v>48</v>
      </c>
    </row>
    <row r="143" spans="1:1">
      <c r="A143" s="9">
        <v>56</v>
      </c>
    </row>
    <row r="144" spans="1:1">
      <c r="A144" s="9">
        <v>34</v>
      </c>
    </row>
    <row r="145" spans="1:1">
      <c r="A145" s="9">
        <v>26</v>
      </c>
    </row>
    <row r="146" spans="1:1">
      <c r="A146" s="9">
        <v>28</v>
      </c>
    </row>
    <row r="147" spans="1:1">
      <c r="A147" s="9">
        <v>54</v>
      </c>
    </row>
    <row r="148" spans="1:1">
      <c r="A148" s="9">
        <v>60</v>
      </c>
    </row>
    <row r="149" spans="1:1">
      <c r="A149" s="9">
        <v>47</v>
      </c>
    </row>
    <row r="150" spans="1:1">
      <c r="A150" s="9">
        <v>37</v>
      </c>
    </row>
    <row r="151" spans="1:1">
      <c r="A151" s="9">
        <v>46</v>
      </c>
    </row>
    <row r="152" spans="1:1">
      <c r="A152" s="9">
        <v>43</v>
      </c>
    </row>
    <row r="153" spans="1:1">
      <c r="A153" s="9">
        <v>32</v>
      </c>
    </row>
    <row r="154" spans="1:1">
      <c r="A154" s="9">
        <v>90</v>
      </c>
    </row>
    <row r="155" spans="1:1">
      <c r="A155" s="9">
        <v>54</v>
      </c>
    </row>
    <row r="156" spans="1:1">
      <c r="A156" s="9">
        <v>48</v>
      </c>
    </row>
    <row r="157" spans="1:1">
      <c r="A157" s="9">
        <v>28</v>
      </c>
    </row>
    <row r="158" spans="1:1">
      <c r="A158" s="9">
        <v>40</v>
      </c>
    </row>
    <row r="159" spans="1:1">
      <c r="A159" s="9">
        <v>40</v>
      </c>
    </row>
    <row r="160" spans="1:1">
      <c r="A160" s="9">
        <v>25</v>
      </c>
    </row>
    <row r="161" spans="1:1">
      <c r="A161" s="9">
        <v>41</v>
      </c>
    </row>
    <row r="162" spans="1:1">
      <c r="A162" s="9">
        <v>49</v>
      </c>
    </row>
    <row r="163" spans="1:1">
      <c r="A163" s="9">
        <v>38</v>
      </c>
    </row>
    <row r="164" spans="1:1">
      <c r="A164" s="9">
        <v>79</v>
      </c>
    </row>
    <row r="165" spans="1:1">
      <c r="A165" s="9">
        <v>41</v>
      </c>
    </row>
    <row r="166" spans="1:1">
      <c r="A166" s="9">
        <v>70</v>
      </c>
    </row>
    <row r="167" spans="1:1">
      <c r="A167" s="9">
        <v>28</v>
      </c>
    </row>
    <row r="168" spans="1:1">
      <c r="A168" s="9">
        <v>37</v>
      </c>
    </row>
    <row r="169" spans="1:1">
      <c r="A169" s="9">
        <v>45</v>
      </c>
    </row>
    <row r="170" spans="1:1">
      <c r="A170" s="9">
        <v>90</v>
      </c>
    </row>
    <row r="171" spans="1:1">
      <c r="A171" s="9">
        <v>21</v>
      </c>
    </row>
    <row r="172" spans="1:1">
      <c r="A172" s="9">
        <v>82</v>
      </c>
    </row>
    <row r="173" spans="1:1">
      <c r="A173" s="9">
        <v>41</v>
      </c>
    </row>
    <row r="174" spans="1:1">
      <c r="A174" s="9">
        <v>43</v>
      </c>
    </row>
    <row r="175" spans="1:1">
      <c r="A175" s="9">
        <v>37</v>
      </c>
    </row>
    <row r="176" spans="1:1">
      <c r="A176" s="9">
        <v>46</v>
      </c>
    </row>
    <row r="177" spans="1:1">
      <c r="A177" s="9">
        <v>63</v>
      </c>
    </row>
    <row r="178" spans="1:1">
      <c r="A178" s="9">
        <v>47</v>
      </c>
    </row>
    <row r="179" spans="1:1">
      <c r="A179" s="9">
        <v>43</v>
      </c>
    </row>
    <row r="180" spans="1:1">
      <c r="A180" s="9">
        <v>31</v>
      </c>
    </row>
    <row r="181" spans="1:1">
      <c r="A181" s="9">
        <v>37</v>
      </c>
    </row>
    <row r="182" spans="1:1">
      <c r="A182" s="9">
        <v>43</v>
      </c>
    </row>
    <row r="183" spans="1:1">
      <c r="A183" s="9">
        <v>39</v>
      </c>
    </row>
    <row r="184" spans="1:1">
      <c r="A184" s="9">
        <v>41</v>
      </c>
    </row>
    <row r="185" spans="1:1">
      <c r="A185" s="9">
        <v>36</v>
      </c>
    </row>
    <row r="186" spans="1:1">
      <c r="A186" s="9">
        <v>38</v>
      </c>
    </row>
    <row r="187" spans="1:1">
      <c r="A187" s="9">
        <v>26</v>
      </c>
    </row>
    <row r="188" spans="1:1">
      <c r="A188" s="9">
        <v>57</v>
      </c>
    </row>
    <row r="189" spans="1:1">
      <c r="A189" s="9">
        <v>47</v>
      </c>
    </row>
    <row r="190" spans="1:1">
      <c r="A190" s="9">
        <v>18</v>
      </c>
    </row>
    <row r="191" spans="1:1">
      <c r="A191" s="9">
        <v>65</v>
      </c>
    </row>
    <row r="192" spans="1:1">
      <c r="A192" s="9">
        <v>50</v>
      </c>
    </row>
    <row r="193" spans="1:1">
      <c r="A193" s="9">
        <v>52</v>
      </c>
    </row>
    <row r="194" spans="1:1">
      <c r="A194" s="9">
        <v>52</v>
      </c>
    </row>
    <row r="195" spans="1:1">
      <c r="A195" s="9">
        <v>41</v>
      </c>
    </row>
    <row r="196" spans="1:1">
      <c r="A196" s="9">
        <v>33</v>
      </c>
    </row>
    <row r="197" spans="1:1">
      <c r="A197" s="9">
        <v>54</v>
      </c>
    </row>
    <row r="198" spans="1:1">
      <c r="A198" s="9">
        <v>55</v>
      </c>
    </row>
    <row r="199" spans="1:1">
      <c r="A199" s="9">
        <v>37</v>
      </c>
    </row>
    <row r="200" spans="1:1">
      <c r="A200" s="9">
        <v>58</v>
      </c>
    </row>
    <row r="201" spans="1:1">
      <c r="A201" s="9">
        <v>66</v>
      </c>
    </row>
    <row r="202" spans="1:1">
      <c r="A202" s="9">
        <v>56</v>
      </c>
    </row>
    <row r="203" spans="1:1">
      <c r="A203" s="9">
        <v>41</v>
      </c>
    </row>
    <row r="204" spans="1:1">
      <c r="A204" s="9">
        <v>44</v>
      </c>
    </row>
    <row r="205" spans="1:1">
      <c r="A205" s="9"/>
    </row>
    <row r="206" spans="1:1">
      <c r="A206" s="9"/>
    </row>
    <row r="207" spans="1:1">
      <c r="A207" s="9"/>
    </row>
    <row r="208" spans="1:1">
      <c r="A208" s="9"/>
    </row>
    <row r="209" spans="1:1">
      <c r="A209" s="9"/>
    </row>
    <row r="210" spans="1:1">
      <c r="A210" s="9"/>
    </row>
    <row r="211" spans="1:1">
      <c r="A211" s="9"/>
    </row>
    <row r="212" spans="1:1">
      <c r="A212" s="9"/>
    </row>
    <row r="213" spans="1:1">
      <c r="A213" s="9"/>
    </row>
    <row r="214" spans="1:1">
      <c r="A214" s="9"/>
    </row>
    <row r="215" spans="1:1">
      <c r="A215" s="9"/>
    </row>
    <row r="216" spans="1:1">
      <c r="A216" s="9"/>
    </row>
    <row r="217" spans="1:1">
      <c r="A217" s="9"/>
    </row>
    <row r="218" spans="1:1">
      <c r="A218" s="9"/>
    </row>
    <row r="219" spans="1:1">
      <c r="A219" s="9"/>
    </row>
    <row r="220" spans="1:1">
      <c r="A220" s="9"/>
    </row>
    <row r="221" spans="1:1">
      <c r="A221" s="9"/>
    </row>
    <row r="222" spans="1:1">
      <c r="A222" s="9"/>
    </row>
    <row r="223" spans="1:1">
      <c r="A223" s="9"/>
    </row>
    <row r="224" spans="1:1">
      <c r="A224" s="9"/>
    </row>
    <row r="225" spans="1:1">
      <c r="A225" s="9"/>
    </row>
    <row r="226" spans="1:1">
      <c r="A226" s="9"/>
    </row>
    <row r="227" spans="1:1">
      <c r="A227" s="9"/>
    </row>
    <row r="228" spans="1:1">
      <c r="A228" s="9"/>
    </row>
    <row r="229" spans="1:1">
      <c r="A229" s="9"/>
    </row>
    <row r="230" spans="1:1">
      <c r="A230" s="9"/>
    </row>
    <row r="231" spans="1:1">
      <c r="A231" s="9"/>
    </row>
    <row r="232" spans="1:1">
      <c r="A232" s="9"/>
    </row>
    <row r="233" spans="1:1">
      <c r="A233" s="9"/>
    </row>
    <row r="234" spans="1:1">
      <c r="A234" s="9"/>
    </row>
    <row r="235" spans="1:1">
      <c r="A235" s="9"/>
    </row>
    <row r="236" spans="1:1">
      <c r="A236" s="9"/>
    </row>
    <row r="237" spans="1:1">
      <c r="A237" s="9"/>
    </row>
    <row r="238" spans="1:1">
      <c r="A238" s="9"/>
    </row>
    <row r="239" spans="1:1">
      <c r="A239" s="9"/>
    </row>
    <row r="240" spans="1:1">
      <c r="A240" s="9"/>
    </row>
    <row r="241" spans="1:1">
      <c r="A241" s="9"/>
    </row>
    <row r="242" spans="1:1">
      <c r="A242" s="9"/>
    </row>
    <row r="243" spans="1:1">
      <c r="A243" s="9"/>
    </row>
    <row r="244" spans="1:1">
      <c r="A244" s="9"/>
    </row>
    <row r="245" spans="1:1">
      <c r="A245" s="9"/>
    </row>
    <row r="246" spans="1:1">
      <c r="A246" s="9"/>
    </row>
    <row r="247" spans="1:1">
      <c r="A247" s="9"/>
    </row>
    <row r="248" spans="1:1">
      <c r="A248" s="9"/>
    </row>
    <row r="249" spans="1:1">
      <c r="A249" s="9"/>
    </row>
    <row r="250" spans="1:1">
      <c r="A250" s="9"/>
    </row>
    <row r="251" spans="1:1">
      <c r="A251" s="9"/>
    </row>
    <row r="252" spans="1:1">
      <c r="A252" s="9"/>
    </row>
    <row r="253" spans="1:1">
      <c r="A253" s="9"/>
    </row>
    <row r="254" spans="1:1">
      <c r="A254" s="9"/>
    </row>
    <row r="255" spans="1:1">
      <c r="A255" s="9"/>
    </row>
    <row r="256" spans="1:1">
      <c r="A256" s="9"/>
    </row>
    <row r="257" spans="1:1">
      <c r="A257" s="9"/>
    </row>
    <row r="258" spans="1:1">
      <c r="A258" s="9"/>
    </row>
    <row r="259" spans="1:1">
      <c r="A259" s="9"/>
    </row>
    <row r="260" spans="1:1">
      <c r="A260" s="9"/>
    </row>
    <row r="261" spans="1:1">
      <c r="A261" s="9"/>
    </row>
    <row r="262" spans="1:1">
      <c r="A262" s="9"/>
    </row>
    <row r="263" spans="1:1">
      <c r="A263" s="9"/>
    </row>
    <row r="264" spans="1:1">
      <c r="A264" s="9"/>
    </row>
    <row r="265" spans="1:1">
      <c r="A265" s="9"/>
    </row>
    <row r="266" spans="1:1">
      <c r="A266" s="9"/>
    </row>
    <row r="267" spans="1:1">
      <c r="A267" s="9"/>
    </row>
    <row r="268" spans="1:1">
      <c r="A268" s="9"/>
    </row>
    <row r="269" spans="1:1">
      <c r="A269" s="9"/>
    </row>
    <row r="270" spans="1:1">
      <c r="A270" s="9"/>
    </row>
    <row r="271" spans="1:1">
      <c r="A271" s="9"/>
    </row>
    <row r="272" spans="1:1">
      <c r="A272" s="9"/>
    </row>
    <row r="273" spans="1:1">
      <c r="A273" s="9"/>
    </row>
    <row r="274" spans="1:1">
      <c r="A274" s="9"/>
    </row>
    <row r="275" spans="1:1">
      <c r="A275" s="9"/>
    </row>
    <row r="276" spans="1:1">
      <c r="A276" s="9"/>
    </row>
    <row r="277" spans="1:1">
      <c r="A277" s="9"/>
    </row>
    <row r="278" spans="1:1">
      <c r="A278" s="9"/>
    </row>
    <row r="279" spans="1:1">
      <c r="A279" s="9"/>
    </row>
    <row r="280" spans="1:1">
      <c r="A280" s="9"/>
    </row>
    <row r="281" spans="1:1">
      <c r="A281" s="9"/>
    </row>
    <row r="282" spans="1:1">
      <c r="A282" s="9"/>
    </row>
    <row r="283" spans="1:1">
      <c r="A283" s="9"/>
    </row>
    <row r="284" spans="1:1">
      <c r="A284" s="9"/>
    </row>
    <row r="285" spans="1:1">
      <c r="A285" s="9"/>
    </row>
    <row r="286" spans="1:1">
      <c r="A286" s="9"/>
    </row>
    <row r="287" spans="1:1">
      <c r="A287" s="9"/>
    </row>
    <row r="288" spans="1:1">
      <c r="A288" s="9"/>
    </row>
    <row r="289" spans="1:1">
      <c r="A289" s="9"/>
    </row>
    <row r="290" spans="1:1">
      <c r="A290" s="9"/>
    </row>
    <row r="291" spans="1:1">
      <c r="A291" s="9"/>
    </row>
    <row r="292" spans="1:1">
      <c r="A292" s="9"/>
    </row>
    <row r="293" spans="1:1">
      <c r="A293" s="9"/>
    </row>
    <row r="294" spans="1:1">
      <c r="A294" s="9"/>
    </row>
    <row r="295" spans="1:1">
      <c r="A295" s="9"/>
    </row>
    <row r="296" spans="1:1">
      <c r="A296" s="9"/>
    </row>
    <row r="297" spans="1:1">
      <c r="A297" s="9"/>
    </row>
    <row r="298" spans="1:1">
      <c r="A298" s="9"/>
    </row>
    <row r="299" spans="1:1">
      <c r="A299" s="9"/>
    </row>
    <row r="300" spans="1:1">
      <c r="A300" s="9"/>
    </row>
    <row r="301" spans="1:1">
      <c r="A301" s="9"/>
    </row>
    <row r="302" spans="1:1">
      <c r="A302" s="9"/>
    </row>
    <row r="303" spans="1:1">
      <c r="A303" s="9"/>
    </row>
    <row r="304" spans="1:1">
      <c r="A304" s="9"/>
    </row>
    <row r="305" spans="1:1">
      <c r="A305" s="9"/>
    </row>
    <row r="306" spans="1:1">
      <c r="A306" s="9"/>
    </row>
    <row r="307" spans="1:1">
      <c r="A307" s="9"/>
    </row>
    <row r="308" spans="1:1">
      <c r="A308" s="9"/>
    </row>
    <row r="309" spans="1:1">
      <c r="A309" s="9"/>
    </row>
    <row r="310" spans="1:1">
      <c r="A310" s="9"/>
    </row>
    <row r="311" spans="1:1">
      <c r="A311" s="9"/>
    </row>
    <row r="312" spans="1:1">
      <c r="A312" s="9"/>
    </row>
    <row r="313" spans="1:1">
      <c r="A313" s="9"/>
    </row>
    <row r="314" spans="1:1">
      <c r="A314" s="9"/>
    </row>
    <row r="315" spans="1:1">
      <c r="A315" s="9"/>
    </row>
    <row r="316" spans="1:1">
      <c r="A316" s="9"/>
    </row>
    <row r="317" spans="1:1">
      <c r="A317" s="9"/>
    </row>
    <row r="318" spans="1:1">
      <c r="A318" s="9"/>
    </row>
    <row r="319" spans="1:1">
      <c r="A319" s="9"/>
    </row>
    <row r="320" spans="1:1">
      <c r="A320" s="9"/>
    </row>
    <row r="321" spans="1:1">
      <c r="A321" s="9"/>
    </row>
    <row r="322" spans="1:1">
      <c r="A322" s="9"/>
    </row>
    <row r="323" spans="1:1">
      <c r="A323" s="9"/>
    </row>
    <row r="324" spans="1:1">
      <c r="A324" s="9"/>
    </row>
    <row r="325" spans="1:1">
      <c r="A325" s="9"/>
    </row>
    <row r="326" spans="1:1">
      <c r="A326" s="9"/>
    </row>
    <row r="327" spans="1:1">
      <c r="A327" s="9"/>
    </row>
    <row r="328" spans="1:1">
      <c r="A328" s="9"/>
    </row>
    <row r="329" spans="1:1">
      <c r="A329" s="9"/>
    </row>
    <row r="330" spans="1:1">
      <c r="A330" s="9"/>
    </row>
    <row r="331" spans="1:1">
      <c r="A331" s="9"/>
    </row>
    <row r="332" spans="1:1">
      <c r="A332" s="9"/>
    </row>
    <row r="333" spans="1:1">
      <c r="A333" s="9"/>
    </row>
    <row r="334" spans="1:1">
      <c r="A334" s="9"/>
    </row>
    <row r="335" spans="1:1">
      <c r="A335" s="9"/>
    </row>
    <row r="336" spans="1:1">
      <c r="A336" s="9"/>
    </row>
    <row r="337" spans="1:1">
      <c r="A337" s="9"/>
    </row>
    <row r="338" spans="1:1">
      <c r="A338" s="9"/>
    </row>
    <row r="339" spans="1:1">
      <c r="A339" s="9"/>
    </row>
    <row r="340" spans="1:1">
      <c r="A340" s="9"/>
    </row>
    <row r="341" spans="1:1">
      <c r="A341" s="9"/>
    </row>
    <row r="342" spans="1:1">
      <c r="A342" s="9"/>
    </row>
    <row r="343" spans="1:1">
      <c r="A343" s="9"/>
    </row>
    <row r="344" spans="1:1">
      <c r="A344" s="9"/>
    </row>
    <row r="345" spans="1:1">
      <c r="A345" s="9"/>
    </row>
    <row r="346" spans="1:1">
      <c r="A346" s="9"/>
    </row>
    <row r="347" spans="1:1">
      <c r="A347" s="9"/>
    </row>
    <row r="348" spans="1:1">
      <c r="A348" s="9"/>
    </row>
    <row r="349" spans="1:1">
      <c r="A349" s="9"/>
    </row>
    <row r="350" spans="1:1">
      <c r="A350" s="9"/>
    </row>
    <row r="351" spans="1:1">
      <c r="A351" s="9"/>
    </row>
    <row r="352" spans="1:1">
      <c r="A352" s="9"/>
    </row>
    <row r="353" spans="1:1">
      <c r="A353" s="9"/>
    </row>
    <row r="354" spans="1:1">
      <c r="A354" s="9"/>
    </row>
    <row r="355" spans="1:1">
      <c r="A355" s="9"/>
    </row>
    <row r="356" spans="1:1">
      <c r="A356" s="9"/>
    </row>
    <row r="357" spans="1:1">
      <c r="A357" s="9"/>
    </row>
    <row r="358" spans="1:1">
      <c r="A358" s="9"/>
    </row>
    <row r="359" spans="1:1">
      <c r="A359" s="9"/>
    </row>
    <row r="360" spans="1:1">
      <c r="A360" s="9"/>
    </row>
    <row r="361" spans="1:1">
      <c r="A361" s="9"/>
    </row>
    <row r="362" spans="1:1">
      <c r="A362" s="9"/>
    </row>
    <row r="363" spans="1:1">
      <c r="A363" s="9"/>
    </row>
    <row r="364" spans="1:1">
      <c r="A364" s="9"/>
    </row>
    <row r="365" spans="1:1">
      <c r="A365" s="9"/>
    </row>
    <row r="366" spans="1:1">
      <c r="A366" s="9"/>
    </row>
    <row r="367" spans="1:1">
      <c r="A367" s="9"/>
    </row>
    <row r="368" spans="1:1">
      <c r="A368" s="9"/>
    </row>
    <row r="369" spans="1:1">
      <c r="A369" s="9"/>
    </row>
    <row r="370" spans="1:1">
      <c r="A370" s="9"/>
    </row>
    <row r="371" spans="1:1">
      <c r="A371" s="9"/>
    </row>
    <row r="372" spans="1:1">
      <c r="A372" s="9"/>
    </row>
    <row r="373" spans="1:1">
      <c r="A373" s="9"/>
    </row>
    <row r="374" spans="1:1">
      <c r="A374" s="9"/>
    </row>
    <row r="375" spans="1:1">
      <c r="A375" s="9"/>
    </row>
    <row r="376" spans="1:1">
      <c r="A376" s="9"/>
    </row>
    <row r="377" spans="1:1">
      <c r="A377" s="9"/>
    </row>
    <row r="378" spans="1:1">
      <c r="A378" s="9"/>
    </row>
    <row r="379" spans="1:1">
      <c r="A379" s="9"/>
    </row>
    <row r="380" spans="1:1">
      <c r="A380" s="9"/>
    </row>
    <row r="381" spans="1:1">
      <c r="A381" s="9"/>
    </row>
    <row r="382" spans="1:1">
      <c r="A382" s="9"/>
    </row>
    <row r="383" spans="1:1">
      <c r="A383" s="9"/>
    </row>
    <row r="384" spans="1:1">
      <c r="A384" s="9"/>
    </row>
    <row r="385" spans="1:1">
      <c r="A385" s="9"/>
    </row>
    <row r="386" spans="1:1">
      <c r="A386" s="9"/>
    </row>
    <row r="387" spans="1:1">
      <c r="A387" s="9"/>
    </row>
    <row r="388" spans="1:1">
      <c r="A388" s="9"/>
    </row>
    <row r="389" spans="1:1">
      <c r="A389" s="9"/>
    </row>
    <row r="390" spans="1:1">
      <c r="A390" s="9"/>
    </row>
    <row r="391" spans="1:1">
      <c r="A391" s="9"/>
    </row>
    <row r="392" spans="1:1">
      <c r="A392" s="9"/>
    </row>
    <row r="393" spans="1:1">
      <c r="A393" s="9"/>
    </row>
    <row r="394" spans="1:1">
      <c r="A394" s="9"/>
    </row>
    <row r="395" spans="1:1">
      <c r="A395" s="9"/>
    </row>
    <row r="396" spans="1:1">
      <c r="A396" s="9"/>
    </row>
    <row r="397" spans="1:1">
      <c r="A397" s="9"/>
    </row>
    <row r="398" spans="1:1">
      <c r="A398" s="9"/>
    </row>
    <row r="399" spans="1:1">
      <c r="A399" s="9"/>
    </row>
    <row r="400" spans="1:1">
      <c r="A400" s="9"/>
    </row>
    <row r="401" spans="1:1">
      <c r="A401" s="9"/>
    </row>
    <row r="402" spans="1:1">
      <c r="A402" s="9"/>
    </row>
    <row r="403" spans="1:1">
      <c r="A403" s="9"/>
    </row>
    <row r="404" spans="1:1">
      <c r="A404" s="9"/>
    </row>
    <row r="405" spans="1:1">
      <c r="A405" s="9"/>
    </row>
    <row r="406" spans="1:1">
      <c r="A406" s="9"/>
    </row>
    <row r="407" spans="1:1">
      <c r="A407" s="9"/>
    </row>
    <row r="408" spans="1:1">
      <c r="A408" s="9"/>
    </row>
    <row r="409" spans="1:1">
      <c r="A409" s="9"/>
    </row>
    <row r="410" spans="1:1">
      <c r="A410" s="9"/>
    </row>
    <row r="411" spans="1:1">
      <c r="A411" s="9"/>
    </row>
    <row r="412" spans="1:1">
      <c r="A412" s="9"/>
    </row>
    <row r="413" spans="1:1">
      <c r="A413" s="9"/>
    </row>
    <row r="414" spans="1:1">
      <c r="A414" s="9"/>
    </row>
    <row r="415" spans="1:1">
      <c r="A415" s="9"/>
    </row>
    <row r="416" spans="1:1">
      <c r="A416" s="9"/>
    </row>
    <row r="417" spans="1:1">
      <c r="A417" s="9"/>
    </row>
    <row r="418" spans="1:1">
      <c r="A418" s="9"/>
    </row>
    <row r="419" spans="1:1">
      <c r="A419" s="9"/>
    </row>
    <row r="420" spans="1:1">
      <c r="A420" s="9"/>
    </row>
    <row r="421" spans="1:1">
      <c r="A421" s="9"/>
    </row>
    <row r="422" spans="1:1">
      <c r="A422" s="9"/>
    </row>
    <row r="423" spans="1:1">
      <c r="A423" s="9"/>
    </row>
    <row r="424" spans="1:1">
      <c r="A424" s="9"/>
    </row>
    <row r="425" spans="1:1">
      <c r="A425" s="9"/>
    </row>
    <row r="426" spans="1:1">
      <c r="A426" s="9"/>
    </row>
    <row r="427" spans="1:1">
      <c r="A427" s="9"/>
    </row>
    <row r="428" spans="1:1">
      <c r="A428" s="9"/>
    </row>
    <row r="429" spans="1:1">
      <c r="A429" s="9"/>
    </row>
    <row r="430" spans="1:1">
      <c r="A430" s="9"/>
    </row>
    <row r="431" spans="1:1">
      <c r="A431" s="9"/>
    </row>
    <row r="432" spans="1:1">
      <c r="A432" s="9"/>
    </row>
    <row r="433" spans="1:1">
      <c r="A433" s="9"/>
    </row>
    <row r="434" spans="1:1">
      <c r="A434" s="9"/>
    </row>
    <row r="435" spans="1:1">
      <c r="A435" s="9"/>
    </row>
    <row r="436" spans="1:1">
      <c r="A436" s="9"/>
    </row>
    <row r="437" spans="1:1">
      <c r="A437" s="9"/>
    </row>
    <row r="438" spans="1:1">
      <c r="A438" s="9"/>
    </row>
    <row r="439" spans="1:1">
      <c r="A439" s="9"/>
    </row>
    <row r="440" spans="1:1">
      <c r="A440" s="9"/>
    </row>
    <row r="441" spans="1:1">
      <c r="A441" s="9"/>
    </row>
    <row r="442" spans="1:1">
      <c r="A442" s="9"/>
    </row>
    <row r="443" spans="1:1">
      <c r="A443" s="9"/>
    </row>
    <row r="444" spans="1:1">
      <c r="A444" s="9"/>
    </row>
    <row r="445" spans="1:1">
      <c r="A445" s="9"/>
    </row>
    <row r="446" spans="1:1">
      <c r="A446" s="9"/>
    </row>
    <row r="447" spans="1:1">
      <c r="A447" s="9"/>
    </row>
    <row r="448" spans="1:1">
      <c r="A448" s="9"/>
    </row>
    <row r="449" spans="1:1">
      <c r="A449" s="9"/>
    </row>
    <row r="450" spans="1:1">
      <c r="A450" s="9"/>
    </row>
    <row r="451" spans="1:1">
      <c r="A451" s="9"/>
    </row>
    <row r="452" spans="1:1">
      <c r="A452" s="9"/>
    </row>
    <row r="453" spans="1:1">
      <c r="A453" s="9"/>
    </row>
    <row r="454" spans="1:1">
      <c r="A454" s="9"/>
    </row>
    <row r="455" spans="1:1">
      <c r="A455" s="9"/>
    </row>
    <row r="456" spans="1:1">
      <c r="A456" s="9"/>
    </row>
    <row r="457" spans="1:1">
      <c r="A457" s="9"/>
    </row>
    <row r="458" spans="1:1">
      <c r="A458" s="9"/>
    </row>
    <row r="459" spans="1:1">
      <c r="A459" s="9"/>
    </row>
    <row r="460" spans="1:1">
      <c r="A460" s="9"/>
    </row>
    <row r="461" spans="1:1">
      <c r="A461" s="9"/>
    </row>
    <row r="462" spans="1:1">
      <c r="A462" s="9"/>
    </row>
    <row r="463" spans="1:1">
      <c r="A463" s="9"/>
    </row>
    <row r="464" spans="1:1">
      <c r="A464" s="9"/>
    </row>
    <row r="465" spans="1:1">
      <c r="A465" s="9"/>
    </row>
    <row r="466" spans="1:1">
      <c r="A466" s="9"/>
    </row>
    <row r="467" spans="1:1">
      <c r="A467" s="9"/>
    </row>
    <row r="468" spans="1:1">
      <c r="A468" s="9"/>
    </row>
    <row r="469" spans="1:1">
      <c r="A469" s="9"/>
    </row>
    <row r="470" spans="1:1">
      <c r="A470" s="9"/>
    </row>
    <row r="471" spans="1:1">
      <c r="A471" s="9"/>
    </row>
    <row r="472" spans="1:1">
      <c r="A472" s="9"/>
    </row>
    <row r="473" spans="1:1">
      <c r="A473" s="9"/>
    </row>
    <row r="474" spans="1:1">
      <c r="A474" s="9"/>
    </row>
    <row r="475" spans="1:1">
      <c r="A475" s="9"/>
    </row>
    <row r="476" spans="1:1">
      <c r="A476" s="9"/>
    </row>
    <row r="477" spans="1:1">
      <c r="A477" s="9"/>
    </row>
    <row r="478" spans="1:1">
      <c r="A478" s="9"/>
    </row>
    <row r="479" spans="1:1">
      <c r="A479" s="9"/>
    </row>
    <row r="480" spans="1:1">
      <c r="A480" s="9"/>
    </row>
    <row r="481" spans="1:1">
      <c r="A481" s="9"/>
    </row>
    <row r="482" spans="1:1">
      <c r="A482" s="9"/>
    </row>
    <row r="483" spans="1:1">
      <c r="A483" s="9"/>
    </row>
    <row r="484" spans="1:1">
      <c r="A484" s="9"/>
    </row>
    <row r="485" spans="1:1">
      <c r="A485" s="9"/>
    </row>
    <row r="486" spans="1:1">
      <c r="A486" s="9"/>
    </row>
    <row r="487" spans="1:1">
      <c r="A487" s="9"/>
    </row>
    <row r="488" spans="1:1">
      <c r="A488" s="9"/>
    </row>
    <row r="489" spans="1:1">
      <c r="A489" s="9"/>
    </row>
    <row r="490" spans="1:1">
      <c r="A490" s="9"/>
    </row>
    <row r="491" spans="1:1">
      <c r="A491" s="9"/>
    </row>
    <row r="492" spans="1:1">
      <c r="A492" s="9"/>
    </row>
    <row r="493" spans="1:1">
      <c r="A493" s="9"/>
    </row>
    <row r="494" spans="1:1">
      <c r="A494" s="9"/>
    </row>
    <row r="495" spans="1:1">
      <c r="A495" s="9"/>
    </row>
    <row r="496" spans="1:1">
      <c r="A496" s="9"/>
    </row>
    <row r="497" spans="1:1">
      <c r="A497" s="9"/>
    </row>
    <row r="498" spans="1:1">
      <c r="A498" s="9"/>
    </row>
    <row r="499" spans="1:1">
      <c r="A499" s="9"/>
    </row>
    <row r="500" spans="1:1">
      <c r="A500" s="9"/>
    </row>
    <row r="501" spans="1:1">
      <c r="A501" s="9"/>
    </row>
    <row r="502" spans="1:1">
      <c r="A502" s="9"/>
    </row>
    <row r="503" spans="1:1">
      <c r="A503" s="9"/>
    </row>
    <row r="504" spans="1:1">
      <c r="A504" s="9"/>
    </row>
    <row r="505" spans="1:1">
      <c r="A505" s="9"/>
    </row>
    <row r="506" spans="1:1">
      <c r="A506" s="9"/>
    </row>
    <row r="507" spans="1:1">
      <c r="A507" s="9"/>
    </row>
    <row r="508" spans="1:1">
      <c r="A508" s="9"/>
    </row>
    <row r="509" spans="1:1">
      <c r="A509" s="9"/>
    </row>
    <row r="510" spans="1:1">
      <c r="A510" s="9"/>
    </row>
    <row r="511" spans="1:1">
      <c r="A511" s="9"/>
    </row>
    <row r="512" spans="1:1">
      <c r="A512" s="9"/>
    </row>
    <row r="513" spans="1:1">
      <c r="A513" s="9"/>
    </row>
    <row r="514" spans="1:1">
      <c r="A514" s="9"/>
    </row>
    <row r="515" spans="1:1">
      <c r="A515" s="9"/>
    </row>
    <row r="516" spans="1:1">
      <c r="A516" s="9"/>
    </row>
    <row r="517" spans="1:1">
      <c r="A517" s="9"/>
    </row>
    <row r="518" spans="1:1">
      <c r="A518" s="9"/>
    </row>
    <row r="519" spans="1:1">
      <c r="A519" s="9"/>
    </row>
    <row r="520" spans="1:1">
      <c r="A520" s="9"/>
    </row>
    <row r="521" spans="1:1">
      <c r="A521" s="9"/>
    </row>
    <row r="522" spans="1:1">
      <c r="A522" s="9"/>
    </row>
    <row r="523" spans="1:1">
      <c r="A523" s="9"/>
    </row>
    <row r="524" spans="1:1">
      <c r="A524" s="9"/>
    </row>
    <row r="525" spans="1:1">
      <c r="A525" s="9"/>
    </row>
    <row r="526" spans="1:1">
      <c r="A526" s="9"/>
    </row>
    <row r="527" spans="1:1">
      <c r="A527" s="9"/>
    </row>
    <row r="528" spans="1:1">
      <c r="A528" s="9"/>
    </row>
    <row r="529" spans="1:1">
      <c r="A529" s="9"/>
    </row>
    <row r="530" spans="1:1">
      <c r="A530" s="9"/>
    </row>
    <row r="531" spans="1:1">
      <c r="A531" s="9"/>
    </row>
    <row r="532" spans="1:1">
      <c r="A532" s="9"/>
    </row>
    <row r="533" spans="1:1">
      <c r="A533" s="9"/>
    </row>
    <row r="534" spans="1:1">
      <c r="A534" s="9"/>
    </row>
    <row r="535" spans="1:1">
      <c r="A535" s="9"/>
    </row>
    <row r="536" spans="1:1">
      <c r="A536" s="9"/>
    </row>
    <row r="537" spans="1:1">
      <c r="A537" s="9"/>
    </row>
    <row r="538" spans="1:1">
      <c r="A538" s="9"/>
    </row>
    <row r="539" spans="1:1">
      <c r="A539" s="9"/>
    </row>
    <row r="540" spans="1:1">
      <c r="A540" s="9"/>
    </row>
    <row r="541" spans="1:1">
      <c r="A541" s="9"/>
    </row>
    <row r="542" spans="1:1">
      <c r="A542" s="9"/>
    </row>
    <row r="543" spans="1:1">
      <c r="A543" s="9"/>
    </row>
    <row r="544" spans="1:1">
      <c r="A544" s="9"/>
    </row>
    <row r="545" spans="1:1">
      <c r="A545" s="9"/>
    </row>
    <row r="546" spans="1:1">
      <c r="A546" s="9"/>
    </row>
    <row r="547" spans="1:1">
      <c r="A547" s="9"/>
    </row>
    <row r="548" spans="1:1">
      <c r="A548" s="9"/>
    </row>
    <row r="549" spans="1:1">
      <c r="A549" s="9"/>
    </row>
    <row r="550" spans="1:1">
      <c r="A550" s="9"/>
    </row>
    <row r="551" spans="1:1">
      <c r="A551" s="9"/>
    </row>
    <row r="552" spans="1:1">
      <c r="A552" s="9"/>
    </row>
    <row r="553" spans="1:1">
      <c r="A553" s="9"/>
    </row>
    <row r="554" spans="1:1">
      <c r="A554" s="9"/>
    </row>
    <row r="555" spans="1:1">
      <c r="A555" s="9"/>
    </row>
    <row r="556" spans="1:1">
      <c r="A556" s="9"/>
    </row>
    <row r="557" spans="1:1">
      <c r="A557" s="9"/>
    </row>
    <row r="558" spans="1:1">
      <c r="A558" s="9"/>
    </row>
    <row r="559" spans="1:1">
      <c r="A559" s="9"/>
    </row>
    <row r="560" spans="1:1">
      <c r="A560" s="9"/>
    </row>
    <row r="561" spans="1:1">
      <c r="A561" s="9"/>
    </row>
    <row r="562" spans="1:1">
      <c r="A562" s="9"/>
    </row>
    <row r="563" spans="1:1">
      <c r="A563" s="9"/>
    </row>
    <row r="564" spans="1:1">
      <c r="A564" s="9"/>
    </row>
    <row r="565" spans="1:1">
      <c r="A565" s="9"/>
    </row>
    <row r="566" spans="1:1">
      <c r="A566" s="9"/>
    </row>
    <row r="567" spans="1:1">
      <c r="A567" s="9"/>
    </row>
    <row r="568" spans="1:1">
      <c r="A568" s="9"/>
    </row>
    <row r="569" spans="1:1">
      <c r="A569" s="9"/>
    </row>
    <row r="570" spans="1:1">
      <c r="A570" s="9"/>
    </row>
    <row r="571" spans="1:1">
      <c r="A571" s="9"/>
    </row>
    <row r="572" spans="1:1">
      <c r="A572" s="9"/>
    </row>
    <row r="573" spans="1:1">
      <c r="A573" s="9"/>
    </row>
    <row r="574" spans="1:1">
      <c r="A574" s="9"/>
    </row>
    <row r="575" spans="1:1">
      <c r="A575" s="9"/>
    </row>
    <row r="576" spans="1:1">
      <c r="A576" s="9"/>
    </row>
    <row r="577" spans="1:1">
      <c r="A577" s="9"/>
    </row>
    <row r="578" spans="1:1">
      <c r="A578" s="9"/>
    </row>
    <row r="579" spans="1:1">
      <c r="A579" s="9"/>
    </row>
    <row r="580" spans="1:1">
      <c r="A580" s="9"/>
    </row>
    <row r="581" spans="1:1">
      <c r="A581" s="9"/>
    </row>
    <row r="582" spans="1:1">
      <c r="A582" s="9"/>
    </row>
    <row r="583" spans="1:1">
      <c r="A583" s="9"/>
    </row>
    <row r="584" spans="1:1">
      <c r="A584" s="9"/>
    </row>
    <row r="585" spans="1:1">
      <c r="A585" s="9"/>
    </row>
    <row r="586" spans="1:1">
      <c r="A586" s="9"/>
    </row>
    <row r="587" spans="1:1">
      <c r="A587" s="9"/>
    </row>
    <row r="588" spans="1:1">
      <c r="A588" s="9"/>
    </row>
    <row r="589" spans="1:1">
      <c r="A589" s="9"/>
    </row>
    <row r="590" spans="1:1">
      <c r="A590" s="9"/>
    </row>
    <row r="591" spans="1:1">
      <c r="A591" s="9"/>
    </row>
    <row r="592" spans="1:1">
      <c r="A592" s="9"/>
    </row>
    <row r="593" spans="1:1">
      <c r="A593" s="9"/>
    </row>
    <row r="594" spans="1:1">
      <c r="A594" s="9"/>
    </row>
    <row r="595" spans="1:1">
      <c r="A595" s="9"/>
    </row>
    <row r="596" spans="1:1">
      <c r="A596" s="9"/>
    </row>
    <row r="597" spans="1:1">
      <c r="A597" s="9"/>
    </row>
    <row r="598" spans="1:1">
      <c r="A598" s="9"/>
    </row>
    <row r="599" spans="1:1">
      <c r="A599" s="9"/>
    </row>
    <row r="600" spans="1:1">
      <c r="A600" s="9"/>
    </row>
    <row r="601" spans="1:1">
      <c r="A601" s="9"/>
    </row>
    <row r="602" spans="1:1">
      <c r="A602" s="9"/>
    </row>
    <row r="603" spans="1:1">
      <c r="A603" s="9"/>
    </row>
    <row r="604" spans="1:1">
      <c r="A604" s="9"/>
    </row>
    <row r="605" spans="1:1">
      <c r="A605" s="9"/>
    </row>
    <row r="606" spans="1:1">
      <c r="A606" s="9"/>
    </row>
    <row r="607" spans="1:1">
      <c r="A607" s="9"/>
    </row>
    <row r="608" spans="1:1">
      <c r="A608" s="9"/>
    </row>
    <row r="609" spans="1:1">
      <c r="A609" s="9"/>
    </row>
    <row r="610" spans="1:1">
      <c r="A610" s="9"/>
    </row>
    <row r="611" spans="1:1">
      <c r="A611" s="9"/>
    </row>
    <row r="612" spans="1:1">
      <c r="A612" s="9"/>
    </row>
    <row r="613" spans="1:1">
      <c r="A613" s="9"/>
    </row>
    <row r="614" spans="1:1">
      <c r="A614" s="9"/>
    </row>
    <row r="615" spans="1:1">
      <c r="A615" s="9"/>
    </row>
    <row r="616" spans="1:1">
      <c r="A616" s="9"/>
    </row>
    <row r="617" spans="1:1">
      <c r="A617" s="9"/>
    </row>
    <row r="618" spans="1:1">
      <c r="A618" s="9"/>
    </row>
    <row r="619" spans="1:1">
      <c r="A619" s="9"/>
    </row>
    <row r="620" spans="1:1">
      <c r="A620" s="9"/>
    </row>
    <row r="621" spans="1:1">
      <c r="A621" s="9"/>
    </row>
    <row r="622" spans="1:1">
      <c r="A622" s="9"/>
    </row>
    <row r="623" spans="1:1">
      <c r="A623" s="9"/>
    </row>
    <row r="624" spans="1:1">
      <c r="A624" s="9"/>
    </row>
    <row r="625" spans="1:1">
      <c r="A625" s="9"/>
    </row>
    <row r="626" spans="1:1">
      <c r="A626" s="9"/>
    </row>
    <row r="627" spans="1:1">
      <c r="A627" s="9"/>
    </row>
    <row r="628" spans="1:1">
      <c r="A628" s="9"/>
    </row>
    <row r="629" spans="1:1">
      <c r="A629" s="9"/>
    </row>
    <row r="630" spans="1:1">
      <c r="A630" s="9"/>
    </row>
    <row r="631" spans="1:1">
      <c r="A631" s="9"/>
    </row>
    <row r="632" spans="1:1">
      <c r="A632" s="9"/>
    </row>
    <row r="633" spans="1:1">
      <c r="A633" s="9"/>
    </row>
    <row r="634" spans="1:1">
      <c r="A634" s="9"/>
    </row>
    <row r="635" spans="1:1">
      <c r="A635" s="9"/>
    </row>
    <row r="636" spans="1:1">
      <c r="A636" s="9"/>
    </row>
    <row r="637" spans="1:1">
      <c r="A637" s="9"/>
    </row>
    <row r="638" spans="1:1">
      <c r="A638" s="9"/>
    </row>
    <row r="639" spans="1:1">
      <c r="A639" s="9"/>
    </row>
    <row r="640" spans="1:1">
      <c r="A640" s="9"/>
    </row>
    <row r="641" spans="1:1">
      <c r="A641" s="9"/>
    </row>
    <row r="642" spans="1:1">
      <c r="A642" s="9"/>
    </row>
    <row r="643" spans="1:1">
      <c r="A643" s="9"/>
    </row>
    <row r="644" spans="1:1">
      <c r="A644" s="9"/>
    </row>
    <row r="645" spans="1:1">
      <c r="A645" s="9"/>
    </row>
    <row r="646" spans="1:1">
      <c r="A646" s="9"/>
    </row>
    <row r="647" spans="1:1">
      <c r="A647" s="9"/>
    </row>
    <row r="648" spans="1:1">
      <c r="A648" s="9"/>
    </row>
    <row r="649" spans="1:1">
      <c r="A649" s="9"/>
    </row>
    <row r="650" spans="1:1">
      <c r="A650" s="9"/>
    </row>
    <row r="651" spans="1:1">
      <c r="A651" s="9"/>
    </row>
    <row r="652" spans="1:1">
      <c r="A652" s="9"/>
    </row>
    <row r="653" spans="1:1">
      <c r="A653" s="9"/>
    </row>
    <row r="654" spans="1:1">
      <c r="A654" s="9"/>
    </row>
    <row r="655" spans="1:1">
      <c r="A655" s="9"/>
    </row>
    <row r="656" spans="1:1">
      <c r="A656" s="9"/>
    </row>
    <row r="657" spans="1:1">
      <c r="A657" s="9"/>
    </row>
    <row r="658" spans="1:1">
      <c r="A658" s="9"/>
    </row>
    <row r="659" spans="1:1">
      <c r="A659" s="9"/>
    </row>
    <row r="660" spans="1:1">
      <c r="A660" s="9"/>
    </row>
    <row r="661" spans="1:1">
      <c r="A661" s="9"/>
    </row>
    <row r="662" spans="1:1">
      <c r="A662" s="9"/>
    </row>
    <row r="663" spans="1:1">
      <c r="A663" s="9"/>
    </row>
    <row r="664" spans="1:1">
      <c r="A664" s="9"/>
    </row>
    <row r="665" spans="1:1">
      <c r="A665" s="9"/>
    </row>
    <row r="666" spans="1:1">
      <c r="A666" s="9"/>
    </row>
    <row r="667" spans="1:1">
      <c r="A667" s="9"/>
    </row>
    <row r="668" spans="1:1">
      <c r="A668" s="9"/>
    </row>
    <row r="669" spans="1:1">
      <c r="A669" s="9"/>
    </row>
    <row r="670" spans="1:1">
      <c r="A670" s="9"/>
    </row>
    <row r="671" spans="1:1">
      <c r="A671" s="9"/>
    </row>
    <row r="672" spans="1:1">
      <c r="A672" s="9"/>
    </row>
    <row r="673" spans="1:1">
      <c r="A673" s="9"/>
    </row>
    <row r="674" spans="1:1">
      <c r="A674" s="9"/>
    </row>
    <row r="675" spans="1:1">
      <c r="A675" s="9"/>
    </row>
    <row r="676" spans="1:1">
      <c r="A676" s="9"/>
    </row>
    <row r="677" spans="1:1">
      <c r="A677" s="9"/>
    </row>
    <row r="678" spans="1:1">
      <c r="A678" s="9"/>
    </row>
    <row r="679" spans="1:1">
      <c r="A679" s="9"/>
    </row>
    <row r="680" spans="1:1">
      <c r="A680" s="9"/>
    </row>
    <row r="681" spans="1:1">
      <c r="A681" s="9"/>
    </row>
    <row r="682" spans="1:1">
      <c r="A682" s="9"/>
    </row>
    <row r="683" spans="1:1">
      <c r="A683" s="9"/>
    </row>
    <row r="684" spans="1:1">
      <c r="A684" s="9"/>
    </row>
    <row r="685" spans="1:1">
      <c r="A685" s="9"/>
    </row>
    <row r="686" spans="1:1">
      <c r="A686" s="9"/>
    </row>
    <row r="687" spans="1:1">
      <c r="A687" s="9"/>
    </row>
    <row r="688" spans="1:1">
      <c r="A688" s="9"/>
    </row>
    <row r="689" spans="1:1">
      <c r="A689" s="9"/>
    </row>
    <row r="690" spans="1:1">
      <c r="A690" s="9"/>
    </row>
    <row r="691" spans="1:1">
      <c r="A691" s="9"/>
    </row>
    <row r="692" spans="1:1">
      <c r="A692" s="9"/>
    </row>
    <row r="693" spans="1:1">
      <c r="A693" s="9"/>
    </row>
    <row r="694" spans="1:1">
      <c r="A694" s="9"/>
    </row>
    <row r="695" spans="1:1">
      <c r="A695" s="9"/>
    </row>
    <row r="696" spans="1:1">
      <c r="A696" s="9"/>
    </row>
    <row r="697" spans="1:1">
      <c r="A697" s="9"/>
    </row>
    <row r="698" spans="1:1">
      <c r="A698" s="9"/>
    </row>
    <row r="699" spans="1:1">
      <c r="A699" s="9"/>
    </row>
    <row r="700" spans="1:1">
      <c r="A700" s="9"/>
    </row>
    <row r="701" spans="1:1">
      <c r="A701" s="9"/>
    </row>
    <row r="702" spans="1:1">
      <c r="A702" s="9"/>
    </row>
    <row r="703" spans="1:1">
      <c r="A703" s="9"/>
    </row>
    <row r="704" spans="1:1">
      <c r="A704" s="9"/>
    </row>
    <row r="705" spans="1:1">
      <c r="A705" s="9"/>
    </row>
    <row r="706" spans="1:1">
      <c r="A706" s="9"/>
    </row>
    <row r="707" spans="1:1">
      <c r="A707" s="9"/>
    </row>
    <row r="708" spans="1:1">
      <c r="A708" s="9"/>
    </row>
    <row r="709" spans="1:1">
      <c r="A709" s="9"/>
    </row>
    <row r="710" spans="1:1">
      <c r="A710" s="9"/>
    </row>
    <row r="711" spans="1:1">
      <c r="A711" s="9"/>
    </row>
    <row r="712" spans="1:1">
      <c r="A712" s="9"/>
    </row>
    <row r="713" spans="1:1">
      <c r="A713" s="9"/>
    </row>
    <row r="714" spans="1:1">
      <c r="A714" s="9"/>
    </row>
    <row r="715" spans="1:1">
      <c r="A715" s="9"/>
    </row>
    <row r="716" spans="1:1">
      <c r="A716" s="9"/>
    </row>
    <row r="717" spans="1:1">
      <c r="A717" s="9"/>
    </row>
    <row r="718" spans="1:1">
      <c r="A718" s="9"/>
    </row>
    <row r="719" spans="1:1">
      <c r="A719" s="9"/>
    </row>
    <row r="720" spans="1:1">
      <c r="A720" s="9"/>
    </row>
    <row r="721" spans="1:1">
      <c r="A721" s="9"/>
    </row>
    <row r="722" spans="1:1">
      <c r="A722" s="9"/>
    </row>
    <row r="723" spans="1:1">
      <c r="A723" s="9"/>
    </row>
    <row r="724" spans="1:1">
      <c r="A724" s="9"/>
    </row>
    <row r="725" spans="1:1">
      <c r="A725" s="9"/>
    </row>
    <row r="726" spans="1:1">
      <c r="A726" s="9"/>
    </row>
    <row r="727" spans="1:1">
      <c r="A727" s="9"/>
    </row>
    <row r="728" spans="1:1">
      <c r="A728" s="9"/>
    </row>
    <row r="729" spans="1:1">
      <c r="A729" s="9"/>
    </row>
    <row r="730" spans="1:1">
      <c r="A730" s="9"/>
    </row>
    <row r="731" spans="1:1">
      <c r="A731" s="9"/>
    </row>
    <row r="732" spans="1:1">
      <c r="A732" s="9"/>
    </row>
    <row r="733" spans="1:1">
      <c r="A733" s="9"/>
    </row>
    <row r="734" spans="1:1">
      <c r="A734" s="9"/>
    </row>
    <row r="735" spans="1:1">
      <c r="A735" s="9"/>
    </row>
    <row r="736" spans="1:1">
      <c r="A736" s="9"/>
    </row>
    <row r="737" spans="1:1">
      <c r="A737" s="9"/>
    </row>
    <row r="738" spans="1:1">
      <c r="A738" s="9"/>
    </row>
    <row r="739" spans="1:1">
      <c r="A739" s="9"/>
    </row>
    <row r="740" spans="1:1">
      <c r="A740" s="9"/>
    </row>
    <row r="741" spans="1:1">
      <c r="A741" s="9"/>
    </row>
    <row r="742" spans="1:1">
      <c r="A742" s="9"/>
    </row>
    <row r="743" spans="1:1">
      <c r="A743" s="9"/>
    </row>
    <row r="744" spans="1:1">
      <c r="A744" s="9"/>
    </row>
    <row r="745" spans="1:1">
      <c r="A745" s="9"/>
    </row>
    <row r="746" spans="1:1">
      <c r="A746" s="9"/>
    </row>
    <row r="747" spans="1:1">
      <c r="A747" s="9"/>
    </row>
    <row r="748" spans="1:1">
      <c r="A748" s="9"/>
    </row>
    <row r="749" spans="1:1">
      <c r="A749" s="9"/>
    </row>
    <row r="750" spans="1:1">
      <c r="A750" s="9"/>
    </row>
    <row r="751" spans="1:1">
      <c r="A751" s="9"/>
    </row>
    <row r="752" spans="1:1">
      <c r="A752" s="9"/>
    </row>
    <row r="753" spans="1:1">
      <c r="A753" s="9"/>
    </row>
    <row r="754" spans="1:1">
      <c r="A754" s="9"/>
    </row>
    <row r="755" spans="1:1">
      <c r="A755" s="9"/>
    </row>
    <row r="756" spans="1:1">
      <c r="A756" s="9"/>
    </row>
    <row r="757" spans="1:1">
      <c r="A757" s="9"/>
    </row>
    <row r="758" spans="1:1">
      <c r="A758" s="9"/>
    </row>
    <row r="759" spans="1:1">
      <c r="A759" s="9"/>
    </row>
    <row r="760" spans="1:1">
      <c r="A760" s="9"/>
    </row>
    <row r="761" spans="1:1">
      <c r="A761" s="9"/>
    </row>
    <row r="762" spans="1:1">
      <c r="A762" s="9"/>
    </row>
    <row r="763" spans="1:1">
      <c r="A763" s="9"/>
    </row>
    <row r="764" spans="1:1">
      <c r="A764" s="9"/>
    </row>
    <row r="765" spans="1:1">
      <c r="A765" s="9"/>
    </row>
    <row r="766" spans="1:1">
      <c r="A766" s="9"/>
    </row>
    <row r="767" spans="1:1">
      <c r="A767" s="9"/>
    </row>
    <row r="768" spans="1:1">
      <c r="A768" s="9"/>
    </row>
    <row r="769" spans="1:1">
      <c r="A769" s="9"/>
    </row>
    <row r="770" spans="1:1">
      <c r="A770" s="9"/>
    </row>
    <row r="771" spans="1:1">
      <c r="A771" s="9"/>
    </row>
    <row r="772" spans="1:1">
      <c r="A772" s="9"/>
    </row>
    <row r="773" spans="1:1">
      <c r="A773" s="9"/>
    </row>
    <row r="774" spans="1:1">
      <c r="A774" s="9"/>
    </row>
    <row r="775" spans="1:1">
      <c r="A775" s="9"/>
    </row>
    <row r="776" spans="1:1">
      <c r="A776" s="9"/>
    </row>
    <row r="777" spans="1:1">
      <c r="A777" s="9"/>
    </row>
    <row r="778" spans="1:1">
      <c r="A778" s="9"/>
    </row>
    <row r="779" spans="1:1">
      <c r="A779" s="9"/>
    </row>
    <row r="780" spans="1:1">
      <c r="A780" s="9"/>
    </row>
    <row r="781" spans="1:1">
      <c r="A781" s="9"/>
    </row>
    <row r="782" spans="1:1">
      <c r="A782" s="9"/>
    </row>
    <row r="783" spans="1:1">
      <c r="A783" s="9"/>
    </row>
    <row r="784" spans="1:1">
      <c r="A784" s="9"/>
    </row>
    <row r="785" spans="1:1">
      <c r="A785" s="9"/>
    </row>
    <row r="786" spans="1:1">
      <c r="A786" s="9"/>
    </row>
    <row r="787" spans="1:1">
      <c r="A787" s="9"/>
    </row>
    <row r="788" spans="1:1">
      <c r="A788" s="9"/>
    </row>
    <row r="789" spans="1:1">
      <c r="A789" s="9"/>
    </row>
    <row r="790" spans="1:1">
      <c r="A790" s="9"/>
    </row>
    <row r="791" spans="1:1">
      <c r="A791" s="9"/>
    </row>
    <row r="792" spans="1:1">
      <c r="A792" s="9"/>
    </row>
    <row r="793" spans="1:1">
      <c r="A793" s="9"/>
    </row>
    <row r="794" spans="1:1">
      <c r="A794" s="9"/>
    </row>
    <row r="795" spans="1:1">
      <c r="A795" s="9"/>
    </row>
    <row r="796" spans="1:1">
      <c r="A796" s="9"/>
    </row>
    <row r="797" spans="1:1">
      <c r="A797" s="9"/>
    </row>
    <row r="798" spans="1:1">
      <c r="A798" s="9"/>
    </row>
    <row r="799" spans="1:1">
      <c r="A799" s="9"/>
    </row>
    <row r="800" spans="1:1">
      <c r="A800" s="9"/>
    </row>
    <row r="801" spans="1:1">
      <c r="A801" s="9"/>
    </row>
    <row r="802" spans="1:1">
      <c r="A802" s="9"/>
    </row>
    <row r="803" spans="1:1">
      <c r="A803" s="9"/>
    </row>
    <row r="804" spans="1:1">
      <c r="A804" s="9"/>
    </row>
    <row r="805" spans="1:1">
      <c r="A805" s="9"/>
    </row>
    <row r="806" spans="1:1">
      <c r="A806" s="9"/>
    </row>
    <row r="807" spans="1:1">
      <c r="A807" s="9"/>
    </row>
    <row r="808" spans="1:1">
      <c r="A808" s="9"/>
    </row>
    <row r="809" spans="1:1">
      <c r="A809" s="9"/>
    </row>
    <row r="810" spans="1:1">
      <c r="A810" s="9"/>
    </row>
    <row r="811" spans="1:1">
      <c r="A811" s="9"/>
    </row>
    <row r="812" spans="1:1">
      <c r="A812" s="9"/>
    </row>
    <row r="813" spans="1:1">
      <c r="A813" s="9"/>
    </row>
    <row r="814" spans="1:1">
      <c r="A814" s="9"/>
    </row>
    <row r="815" spans="1:1">
      <c r="A815" s="9"/>
    </row>
    <row r="816" spans="1:1">
      <c r="A816" s="9"/>
    </row>
    <row r="817" spans="1:1">
      <c r="A817" s="9"/>
    </row>
    <row r="818" spans="1:1">
      <c r="A818" s="9"/>
    </row>
    <row r="819" spans="1:1">
      <c r="A819" s="9"/>
    </row>
    <row r="820" spans="1:1">
      <c r="A820" s="9"/>
    </row>
    <row r="821" spans="1:1">
      <c r="A821" s="9"/>
    </row>
    <row r="822" spans="1:1">
      <c r="A822" s="9"/>
    </row>
    <row r="823" spans="1:1">
      <c r="A823" s="9"/>
    </row>
    <row r="824" spans="1:1">
      <c r="A824" s="9"/>
    </row>
    <row r="825" spans="1:1">
      <c r="A825" s="9"/>
    </row>
    <row r="826" spans="1:1">
      <c r="A826" s="9"/>
    </row>
    <row r="827" spans="1:1">
      <c r="A827" s="9"/>
    </row>
    <row r="828" spans="1:1">
      <c r="A828" s="9"/>
    </row>
    <row r="829" spans="1:1">
      <c r="A829" s="9"/>
    </row>
    <row r="830" spans="1:1">
      <c r="A830" s="9"/>
    </row>
    <row r="831" spans="1:1">
      <c r="A831" s="9"/>
    </row>
    <row r="832" spans="1:1">
      <c r="A832" s="9"/>
    </row>
    <row r="833" spans="1:1">
      <c r="A833" s="9"/>
    </row>
    <row r="834" spans="1:1">
      <c r="A834" s="9"/>
    </row>
    <row r="835" spans="1:1">
      <c r="A835" s="9"/>
    </row>
    <row r="836" spans="1:1">
      <c r="A836" s="9"/>
    </row>
    <row r="837" spans="1:1">
      <c r="A837" s="9"/>
    </row>
    <row r="838" spans="1:1">
      <c r="A838" s="9"/>
    </row>
    <row r="839" spans="1:1">
      <c r="A839" s="9"/>
    </row>
    <row r="840" spans="1:1">
      <c r="A840" s="9"/>
    </row>
    <row r="841" spans="1:1">
      <c r="A841" s="9"/>
    </row>
    <row r="842" spans="1:1">
      <c r="A842" s="9"/>
    </row>
    <row r="843" spans="1:1">
      <c r="A843" s="9"/>
    </row>
    <row r="844" spans="1:1">
      <c r="A844" s="9"/>
    </row>
    <row r="845" spans="1:1">
      <c r="A845" s="9"/>
    </row>
    <row r="846" spans="1:1">
      <c r="A846" s="9"/>
    </row>
    <row r="847" spans="1:1">
      <c r="A847" s="9"/>
    </row>
    <row r="848" spans="1:1">
      <c r="A848" s="9"/>
    </row>
    <row r="849" spans="1:1">
      <c r="A849" s="9"/>
    </row>
    <row r="850" spans="1:1">
      <c r="A850" s="9"/>
    </row>
    <row r="851" spans="1:1">
      <c r="A851" s="9"/>
    </row>
    <row r="852" spans="1:1">
      <c r="A852" s="9"/>
    </row>
    <row r="853" spans="1:1">
      <c r="A853" s="9"/>
    </row>
    <row r="854" spans="1:1">
      <c r="A854" s="9"/>
    </row>
    <row r="855" spans="1:1">
      <c r="A855" s="9"/>
    </row>
    <row r="856" spans="1:1">
      <c r="A856" s="9"/>
    </row>
    <row r="857" spans="1:1">
      <c r="A857" s="9"/>
    </row>
    <row r="858" spans="1:1">
      <c r="A858" s="9"/>
    </row>
    <row r="859" spans="1:1">
      <c r="A859" s="9"/>
    </row>
    <row r="860" spans="1:1">
      <c r="A860" s="9"/>
    </row>
    <row r="861" spans="1:1">
      <c r="A861" s="9"/>
    </row>
    <row r="862" spans="1:1">
      <c r="A862" s="9"/>
    </row>
    <row r="863" spans="1:1">
      <c r="A863" s="9"/>
    </row>
    <row r="864" spans="1:1">
      <c r="A864" s="9"/>
    </row>
    <row r="865" spans="1:1">
      <c r="A865" s="9"/>
    </row>
    <row r="866" spans="1:1">
      <c r="A866" s="9"/>
    </row>
    <row r="867" spans="1:1">
      <c r="A867" s="9"/>
    </row>
    <row r="868" spans="1:1">
      <c r="A868" s="9"/>
    </row>
    <row r="869" spans="1:1">
      <c r="A869" s="9"/>
    </row>
    <row r="870" spans="1:1">
      <c r="A870" s="9"/>
    </row>
    <row r="871" spans="1:1">
      <c r="A871" s="9"/>
    </row>
    <row r="872" spans="1:1">
      <c r="A872" s="9"/>
    </row>
    <row r="873" spans="1:1">
      <c r="A873" s="9"/>
    </row>
    <row r="874" spans="1:1">
      <c r="A874" s="9"/>
    </row>
    <row r="875" spans="1:1">
      <c r="A875" s="9"/>
    </row>
    <row r="876" spans="1:1">
      <c r="A876" s="9"/>
    </row>
    <row r="877" spans="1:1">
      <c r="A877" s="9"/>
    </row>
    <row r="878" spans="1:1">
      <c r="A878" s="9"/>
    </row>
    <row r="879" spans="1:1">
      <c r="A879" s="9"/>
    </row>
    <row r="880" spans="1:1">
      <c r="A880" s="9"/>
    </row>
    <row r="881" spans="1:1">
      <c r="A881" s="9"/>
    </row>
    <row r="882" spans="1:1">
      <c r="A882" s="9"/>
    </row>
    <row r="883" spans="1:1">
      <c r="A883" s="9"/>
    </row>
    <row r="884" spans="1:1">
      <c r="A884" s="9"/>
    </row>
    <row r="885" spans="1:1">
      <c r="A885" s="9"/>
    </row>
    <row r="886" spans="1:1">
      <c r="A886" s="9"/>
    </row>
    <row r="887" spans="1:1">
      <c r="A887" s="9"/>
    </row>
    <row r="888" spans="1:1">
      <c r="A888" s="9"/>
    </row>
    <row r="889" spans="1:1">
      <c r="A889" s="9"/>
    </row>
    <row r="890" spans="1:1">
      <c r="A890" s="9"/>
    </row>
    <row r="891" spans="1:1">
      <c r="A891" s="9"/>
    </row>
    <row r="892" spans="1:1">
      <c r="A892" s="9"/>
    </row>
    <row r="893" spans="1:1">
      <c r="A893" s="9"/>
    </row>
    <row r="894" spans="1:1">
      <c r="A894" s="9"/>
    </row>
    <row r="895" spans="1:1">
      <c r="A895" s="9"/>
    </row>
    <row r="896" spans="1:1">
      <c r="A896" s="9"/>
    </row>
    <row r="897" spans="1:1">
      <c r="A897" s="9"/>
    </row>
    <row r="898" spans="1:1">
      <c r="A898" s="9"/>
    </row>
    <row r="899" spans="1:1">
      <c r="A899" s="9"/>
    </row>
    <row r="900" spans="1:1">
      <c r="A900" s="9"/>
    </row>
    <row r="901" spans="1:1">
      <c r="A901" s="9"/>
    </row>
    <row r="902" spans="1:1">
      <c r="A902" s="9"/>
    </row>
    <row r="903" spans="1:1">
      <c r="A903" s="9"/>
    </row>
    <row r="904" spans="1:1">
      <c r="A904" s="9"/>
    </row>
    <row r="905" spans="1:1">
      <c r="A905" s="9"/>
    </row>
    <row r="906" spans="1:1">
      <c r="A906" s="9"/>
    </row>
    <row r="907" spans="1:1">
      <c r="A907" s="9"/>
    </row>
    <row r="908" spans="1:1">
      <c r="A908" s="9"/>
    </row>
    <row r="909" spans="1:1">
      <c r="A909" s="9"/>
    </row>
    <row r="910" spans="1:1">
      <c r="A910" s="9"/>
    </row>
    <row r="911" spans="1:1">
      <c r="A911" s="9"/>
    </row>
    <row r="912" spans="1:1">
      <c r="A912" s="9"/>
    </row>
    <row r="913" spans="1:1">
      <c r="A913" s="9"/>
    </row>
    <row r="914" spans="1:1">
      <c r="A914" s="9"/>
    </row>
    <row r="915" spans="1:1">
      <c r="A915" s="9"/>
    </row>
    <row r="916" spans="1:1">
      <c r="A916" s="9"/>
    </row>
    <row r="917" spans="1:1">
      <c r="A917" s="9"/>
    </row>
    <row r="918" spans="1:1">
      <c r="A918" s="9"/>
    </row>
    <row r="919" spans="1:1">
      <c r="A919" s="9"/>
    </row>
    <row r="920" spans="1:1">
      <c r="A920" s="9"/>
    </row>
    <row r="921" spans="1:1">
      <c r="A921" s="9"/>
    </row>
    <row r="922" spans="1:1">
      <c r="A922" s="9"/>
    </row>
    <row r="923" spans="1:1">
      <c r="A923" s="9"/>
    </row>
    <row r="924" spans="1:1">
      <c r="A924" s="9"/>
    </row>
    <row r="925" spans="1:1">
      <c r="A925" s="9"/>
    </row>
    <row r="926" spans="1:1">
      <c r="A926" s="9"/>
    </row>
    <row r="927" spans="1:1">
      <c r="A927" s="9"/>
    </row>
    <row r="928" spans="1:1">
      <c r="A928" s="9"/>
    </row>
    <row r="929" spans="1:1">
      <c r="A929" s="9"/>
    </row>
    <row r="930" spans="1:1">
      <c r="A930" s="9"/>
    </row>
    <row r="931" spans="1:1">
      <c r="A931" s="9"/>
    </row>
    <row r="932" spans="1:1">
      <c r="A932" s="9"/>
    </row>
    <row r="933" spans="1:1">
      <c r="A933" s="9"/>
    </row>
    <row r="934" spans="1:1">
      <c r="A934" s="9"/>
    </row>
    <row r="935" spans="1:1">
      <c r="A935" s="9"/>
    </row>
    <row r="936" spans="1:1">
      <c r="A936" s="9"/>
    </row>
    <row r="937" spans="1:1">
      <c r="A937" s="9"/>
    </row>
    <row r="938" spans="1:1">
      <c r="A938" s="9"/>
    </row>
    <row r="939" spans="1:1">
      <c r="A939" s="9"/>
    </row>
    <row r="940" spans="1:1">
      <c r="A940" s="9"/>
    </row>
    <row r="941" spans="1:1">
      <c r="A941" s="9"/>
    </row>
    <row r="942" spans="1:1">
      <c r="A942" s="9"/>
    </row>
    <row r="943" spans="1:1">
      <c r="A943" s="9"/>
    </row>
    <row r="944" spans="1:1">
      <c r="A944" s="9"/>
    </row>
    <row r="945" spans="1:1">
      <c r="A945" s="9"/>
    </row>
    <row r="946" spans="1:1">
      <c r="A946" s="9"/>
    </row>
    <row r="947" spans="1:1">
      <c r="A947" s="9"/>
    </row>
    <row r="948" spans="1:1">
      <c r="A948" s="9"/>
    </row>
    <row r="949" spans="1:1">
      <c r="A949" s="9"/>
    </row>
    <row r="950" spans="1:1">
      <c r="A950" s="9"/>
    </row>
    <row r="951" spans="1:1">
      <c r="A951" s="9"/>
    </row>
    <row r="952" spans="1:1">
      <c r="A952" s="9"/>
    </row>
    <row r="953" spans="1:1">
      <c r="A953" s="9"/>
    </row>
    <row r="954" spans="1:1">
      <c r="A954" s="9"/>
    </row>
    <row r="955" spans="1:1">
      <c r="A955" s="9"/>
    </row>
    <row r="956" spans="1:1">
      <c r="A956" s="9"/>
    </row>
    <row r="957" spans="1:1">
      <c r="A957" s="9"/>
    </row>
    <row r="958" spans="1:1">
      <c r="A958" s="9"/>
    </row>
    <row r="959" spans="1:1">
      <c r="A959" s="9"/>
    </row>
    <row r="960" spans="1:1">
      <c r="A960" s="9"/>
    </row>
    <row r="961" spans="1:1">
      <c r="A961" s="9"/>
    </row>
    <row r="962" spans="1:1">
      <c r="A962" s="9"/>
    </row>
    <row r="963" spans="1:1">
      <c r="A963" s="9"/>
    </row>
    <row r="964" spans="1:1">
      <c r="A964" s="9"/>
    </row>
    <row r="965" spans="1:1">
      <c r="A965" s="9"/>
    </row>
    <row r="966" spans="1:1">
      <c r="A966" s="9"/>
    </row>
    <row r="967" spans="1:1">
      <c r="A967" s="9"/>
    </row>
    <row r="968" spans="1:1">
      <c r="A968" s="9"/>
    </row>
    <row r="969" spans="1:1">
      <c r="A969" s="9"/>
    </row>
    <row r="970" spans="1:1">
      <c r="A970" s="9"/>
    </row>
    <row r="971" spans="1:1">
      <c r="A971" s="9"/>
    </row>
    <row r="972" spans="1:1">
      <c r="A972" s="9"/>
    </row>
    <row r="973" spans="1:1">
      <c r="A973" s="9"/>
    </row>
    <row r="974" spans="1:1">
      <c r="A974" s="9"/>
    </row>
    <row r="975" spans="1:1">
      <c r="A975" s="9"/>
    </row>
    <row r="976" spans="1:1">
      <c r="A976" s="9"/>
    </row>
    <row r="977" spans="1:1">
      <c r="A977" s="9"/>
    </row>
    <row r="978" spans="1:1">
      <c r="A978" s="9"/>
    </row>
    <row r="979" spans="1:1">
      <c r="A979" s="9"/>
    </row>
    <row r="980" spans="1:1">
      <c r="A980" s="9"/>
    </row>
    <row r="981" spans="1:1">
      <c r="A981" s="9"/>
    </row>
    <row r="982" spans="1:1">
      <c r="A982" s="9"/>
    </row>
    <row r="983" spans="1:1">
      <c r="A983" s="9"/>
    </row>
    <row r="984" spans="1:1">
      <c r="A984" s="9"/>
    </row>
    <row r="985" spans="1:1">
      <c r="A985" s="9"/>
    </row>
    <row r="986" spans="1:1">
      <c r="A986" s="9"/>
    </row>
    <row r="987" spans="1:1">
      <c r="A987" s="9"/>
    </row>
    <row r="988" spans="1:1">
      <c r="A988" s="9"/>
    </row>
    <row r="989" spans="1:1">
      <c r="A989" s="9"/>
    </row>
    <row r="990" spans="1:1">
      <c r="A990" s="9"/>
    </row>
    <row r="991" spans="1:1">
      <c r="A991" s="9"/>
    </row>
    <row r="992" spans="1:1">
      <c r="A992" s="9"/>
    </row>
    <row r="993" spans="1:1">
      <c r="A993" s="9"/>
    </row>
    <row r="994" spans="1:1">
      <c r="A994" s="9"/>
    </row>
    <row r="995" spans="1:1">
      <c r="A995" s="9"/>
    </row>
    <row r="996" spans="1:1">
      <c r="A996" s="9"/>
    </row>
    <row r="997" spans="1:1">
      <c r="A997" s="9"/>
    </row>
    <row r="998" spans="1:1">
      <c r="A998" s="9"/>
    </row>
    <row r="999" spans="1:1">
      <c r="A999" s="9"/>
    </row>
    <row r="1000" spans="1:1">
      <c r="A1000" s="9"/>
    </row>
    <row r="1001" spans="1:1">
      <c r="A1001" s="9"/>
    </row>
    <row r="1002" spans="1:1">
      <c r="A1002" s="9"/>
    </row>
    <row r="1003" spans="1:1">
      <c r="A1003" s="9"/>
    </row>
    <row r="1004" spans="1:1">
      <c r="A1004" s="9"/>
    </row>
    <row r="1005" spans="1:1">
      <c r="A1005" s="9"/>
    </row>
    <row r="1006" spans="1:1">
      <c r="A1006" s="9"/>
    </row>
    <row r="1007" spans="1:1">
      <c r="A1007" s="9"/>
    </row>
    <row r="1008" spans="1:1">
      <c r="A1008" s="9"/>
    </row>
    <row r="1009" spans="1:1">
      <c r="A1009" s="9"/>
    </row>
    <row r="1010" spans="1:1">
      <c r="A1010" s="9"/>
    </row>
    <row r="1011" spans="1:1">
      <c r="A1011" s="9"/>
    </row>
    <row r="1012" spans="1:1">
      <c r="A1012" s="9"/>
    </row>
    <row r="1013" spans="1:1">
      <c r="A1013" s="9"/>
    </row>
    <row r="1014" spans="1:1">
      <c r="A1014" s="9"/>
    </row>
    <row r="1015" spans="1:1">
      <c r="A1015" s="9"/>
    </row>
    <row r="1016" spans="1:1">
      <c r="A1016" s="9"/>
    </row>
    <row r="1017" spans="1:1">
      <c r="A1017" s="9"/>
    </row>
    <row r="1018" spans="1:1">
      <c r="A1018" s="9"/>
    </row>
    <row r="1019" spans="1:1">
      <c r="A1019" s="9"/>
    </row>
    <row r="1020" spans="1:1">
      <c r="A1020" s="9"/>
    </row>
    <row r="1021" spans="1:1">
      <c r="A1021" s="9"/>
    </row>
    <row r="1022" spans="1:1">
      <c r="A1022" s="9"/>
    </row>
    <row r="1023" spans="1:1">
      <c r="A1023" s="9"/>
    </row>
    <row r="1024" spans="1:1">
      <c r="A1024" s="9"/>
    </row>
    <row r="1025" spans="1:1">
      <c r="A1025" s="9"/>
    </row>
    <row r="1026" spans="1:1">
      <c r="A1026" s="9"/>
    </row>
    <row r="1027" spans="1:1">
      <c r="A1027" s="9"/>
    </row>
    <row r="1028" spans="1:1">
      <c r="A1028" s="9"/>
    </row>
    <row r="1029" spans="1:1">
      <c r="A1029" s="9"/>
    </row>
    <row r="1030" spans="1:1">
      <c r="A1030" s="9"/>
    </row>
    <row r="1031" spans="1:1">
      <c r="A1031" s="9"/>
    </row>
    <row r="1032" spans="1:1">
      <c r="A1032" s="9"/>
    </row>
    <row r="1033" spans="1:1">
      <c r="A1033" s="9"/>
    </row>
    <row r="1034" spans="1:1">
      <c r="A1034" s="9"/>
    </row>
    <row r="1035" spans="1:1">
      <c r="A1035" s="9"/>
    </row>
    <row r="1036" spans="1:1">
      <c r="A1036" s="9"/>
    </row>
    <row r="1037" spans="1:1">
      <c r="A1037" s="9"/>
    </row>
    <row r="1038" spans="1:1">
      <c r="A1038" s="9"/>
    </row>
    <row r="1039" spans="1:1">
      <c r="A1039" s="9"/>
    </row>
    <row r="1040" spans="1:1">
      <c r="A1040" s="9"/>
    </row>
    <row r="1041" spans="1:1">
      <c r="A1041" s="9"/>
    </row>
    <row r="1042" spans="1:1">
      <c r="A1042" s="9"/>
    </row>
    <row r="1043" spans="1:1">
      <c r="A1043" s="9"/>
    </row>
    <row r="1044" spans="1:1">
      <c r="A1044" s="9"/>
    </row>
    <row r="1045" spans="1:1">
      <c r="A1045" s="9"/>
    </row>
    <row r="1046" spans="1:1">
      <c r="A1046" s="9"/>
    </row>
    <row r="1047" spans="1:1">
      <c r="A1047" s="9"/>
    </row>
    <row r="1048" spans="1:1">
      <c r="A1048" s="9"/>
    </row>
    <row r="1049" spans="1:1">
      <c r="A1049" s="9"/>
    </row>
    <row r="1050" spans="1:1">
      <c r="A1050" s="9"/>
    </row>
    <row r="1051" spans="1:1">
      <c r="A1051" s="9"/>
    </row>
    <row r="1052" spans="1:1">
      <c r="A1052" s="9"/>
    </row>
    <row r="1053" spans="1:1">
      <c r="A1053" s="9"/>
    </row>
    <row r="1054" spans="1:1">
      <c r="A1054" s="9"/>
    </row>
    <row r="1055" spans="1:1">
      <c r="A1055" s="9"/>
    </row>
    <row r="1056" spans="1:1">
      <c r="A1056" s="9"/>
    </row>
    <row r="1057" spans="1:1">
      <c r="A1057" s="9"/>
    </row>
    <row r="1058" spans="1:1">
      <c r="A1058" s="9"/>
    </row>
    <row r="1059" spans="1:1">
      <c r="A1059" s="9"/>
    </row>
    <row r="1060" spans="1:1">
      <c r="A1060" s="9"/>
    </row>
    <row r="1061" spans="1:1">
      <c r="A1061" s="9"/>
    </row>
    <row r="1062" spans="1:1">
      <c r="A1062" s="9"/>
    </row>
    <row r="1063" spans="1:1">
      <c r="A1063" s="9"/>
    </row>
    <row r="1064" spans="1:1">
      <c r="A1064" s="9"/>
    </row>
    <row r="1065" spans="1:1">
      <c r="A1065" s="9"/>
    </row>
    <row r="1066" spans="1:1">
      <c r="A1066" s="9"/>
    </row>
    <row r="1067" spans="1:1">
      <c r="A1067" s="9"/>
    </row>
    <row r="1068" spans="1:1">
      <c r="A1068" s="9"/>
    </row>
    <row r="1069" spans="1:1">
      <c r="A1069" s="9"/>
    </row>
    <row r="1070" spans="1:1">
      <c r="A1070" s="9"/>
    </row>
    <row r="1071" spans="1:1">
      <c r="A1071" s="9"/>
    </row>
    <row r="1072" spans="1:1">
      <c r="A1072" s="9"/>
    </row>
    <row r="1073" spans="1:1">
      <c r="A1073" s="9"/>
    </row>
    <row r="1074" spans="1:1">
      <c r="A1074" s="9"/>
    </row>
    <row r="1075" spans="1:1">
      <c r="A1075" s="9"/>
    </row>
    <row r="1076" spans="1:1">
      <c r="A1076" s="9"/>
    </row>
    <row r="1077" spans="1:1">
      <c r="A1077" s="9"/>
    </row>
    <row r="1078" spans="1:1">
      <c r="A1078" s="9"/>
    </row>
    <row r="1079" spans="1:1">
      <c r="A1079" s="9"/>
    </row>
    <row r="1080" spans="1:1">
      <c r="A1080" s="9"/>
    </row>
    <row r="1081" spans="1:1">
      <c r="A1081" s="9"/>
    </row>
    <row r="1082" spans="1:1">
      <c r="A1082" s="9"/>
    </row>
    <row r="1083" spans="1:1">
      <c r="A1083" s="9"/>
    </row>
    <row r="1084" spans="1:1">
      <c r="A1084" s="9"/>
    </row>
    <row r="1085" spans="1:1">
      <c r="A1085" s="9"/>
    </row>
    <row r="1086" spans="1:1">
      <c r="A1086" s="9"/>
    </row>
    <row r="1087" spans="1:1">
      <c r="A1087" s="9"/>
    </row>
    <row r="1088" spans="1:1">
      <c r="A1088" s="9"/>
    </row>
    <row r="1089" spans="1:1">
      <c r="A1089" s="9"/>
    </row>
    <row r="1090" spans="1:1">
      <c r="A1090" s="9"/>
    </row>
    <row r="1091" spans="1:1">
      <c r="A1091" s="9"/>
    </row>
    <row r="1092" spans="1:1">
      <c r="A1092" s="9"/>
    </row>
    <row r="1093" spans="1:1">
      <c r="A1093" s="9"/>
    </row>
    <row r="1094" spans="1:1">
      <c r="A1094" s="9"/>
    </row>
    <row r="1095" spans="1:1">
      <c r="A1095" s="9"/>
    </row>
    <row r="1096" spans="1:1">
      <c r="A1096" s="9"/>
    </row>
    <row r="1097" spans="1:1">
      <c r="A1097" s="9"/>
    </row>
    <row r="1098" spans="1:1">
      <c r="A1098" s="9"/>
    </row>
    <row r="1099" spans="1:1">
      <c r="A1099" s="9"/>
    </row>
    <row r="1100" spans="1:1">
      <c r="A1100" s="9"/>
    </row>
    <row r="1101" spans="1:1">
      <c r="A1101" s="9"/>
    </row>
    <row r="1102" spans="1:1">
      <c r="A1102" s="9"/>
    </row>
    <row r="1103" spans="1:1">
      <c r="A1103" s="9"/>
    </row>
    <row r="1104" spans="1:1">
      <c r="A1104" s="9"/>
    </row>
    <row r="1105" spans="1:1">
      <c r="A1105" s="9"/>
    </row>
    <row r="1106" spans="1:1">
      <c r="A1106" s="9"/>
    </row>
    <row r="1107" spans="1:1">
      <c r="A1107" s="9"/>
    </row>
    <row r="1108" spans="1:1">
      <c r="A1108" s="9"/>
    </row>
    <row r="1109" spans="1:1">
      <c r="A1109" s="9"/>
    </row>
    <row r="1110" spans="1:1">
      <c r="A1110" s="9"/>
    </row>
    <row r="1111" spans="1:1">
      <c r="A1111" s="9"/>
    </row>
    <row r="1112" spans="1:1">
      <c r="A1112" s="9"/>
    </row>
    <row r="1113" spans="1:1">
      <c r="A1113" s="9"/>
    </row>
    <row r="1114" spans="1:1">
      <c r="A1114" s="9"/>
    </row>
    <row r="1115" spans="1:1">
      <c r="A1115" s="9"/>
    </row>
    <row r="1116" spans="1:1">
      <c r="A1116" s="9"/>
    </row>
    <row r="1117" spans="1:1">
      <c r="A1117" s="9"/>
    </row>
    <row r="1118" spans="1:1">
      <c r="A1118" s="9"/>
    </row>
    <row r="1119" spans="1:1">
      <c r="A1119" s="9"/>
    </row>
    <row r="1120" spans="1:1">
      <c r="A1120" s="9"/>
    </row>
    <row r="1121" spans="1:1">
      <c r="A1121" s="9"/>
    </row>
    <row r="1122" spans="1:1">
      <c r="A1122" s="9"/>
    </row>
    <row r="1123" spans="1:1">
      <c r="A1123" s="9"/>
    </row>
    <row r="1124" spans="1:1">
      <c r="A1124" s="9"/>
    </row>
    <row r="1125" spans="1:1">
      <c r="A1125" s="9"/>
    </row>
    <row r="1126" spans="1:1">
      <c r="A1126" s="9"/>
    </row>
    <row r="1127" spans="1:1">
      <c r="A1127" s="9"/>
    </row>
    <row r="1128" spans="1:1">
      <c r="A1128" s="9"/>
    </row>
    <row r="1129" spans="1:1">
      <c r="A1129" s="9"/>
    </row>
    <row r="1130" spans="1:1">
      <c r="A1130" s="9"/>
    </row>
    <row r="1131" spans="1:1">
      <c r="A1131" s="9"/>
    </row>
    <row r="1132" spans="1:1">
      <c r="A1132" s="9"/>
    </row>
    <row r="1133" spans="1:1">
      <c r="A1133" s="9"/>
    </row>
    <row r="1134" spans="1:1">
      <c r="A1134" s="9"/>
    </row>
    <row r="1135" spans="1:1">
      <c r="A1135" s="9"/>
    </row>
    <row r="1136" spans="1:1">
      <c r="A1136" s="9"/>
    </row>
    <row r="1137" spans="1:1">
      <c r="A1137" s="9"/>
    </row>
    <row r="1138" spans="1:1">
      <c r="A1138" s="9"/>
    </row>
    <row r="1139" spans="1:1">
      <c r="A1139" s="9"/>
    </row>
    <row r="1140" spans="1:1">
      <c r="A1140" s="9"/>
    </row>
    <row r="1141" spans="1:1">
      <c r="A1141" s="9"/>
    </row>
    <row r="1142" spans="1:1">
      <c r="A1142" s="9"/>
    </row>
    <row r="1143" spans="1:1">
      <c r="A1143" s="9"/>
    </row>
    <row r="1144" spans="1:1">
      <c r="A1144" s="9"/>
    </row>
    <row r="1145" spans="1:1">
      <c r="A1145" s="9"/>
    </row>
    <row r="1146" spans="1:1">
      <c r="A1146" s="9"/>
    </row>
    <row r="1147" spans="1:1">
      <c r="A1147" s="9"/>
    </row>
    <row r="1148" spans="1:1">
      <c r="A1148" s="9"/>
    </row>
    <row r="1149" spans="1:1">
      <c r="A1149" s="9"/>
    </row>
    <row r="1150" spans="1:1">
      <c r="A1150" s="9"/>
    </row>
    <row r="1151" spans="1:1">
      <c r="A1151" s="9"/>
    </row>
    <row r="1152" spans="1:1">
      <c r="A1152" s="9"/>
    </row>
    <row r="1153" spans="1:1">
      <c r="A1153" s="9"/>
    </row>
    <row r="1154" spans="1:1">
      <c r="A1154" s="9"/>
    </row>
    <row r="1155" spans="1:1">
      <c r="A1155" s="9"/>
    </row>
    <row r="1156" spans="1:1">
      <c r="A1156" s="9"/>
    </row>
    <row r="1157" spans="1:1">
      <c r="A1157" s="9"/>
    </row>
    <row r="1158" spans="1:1">
      <c r="A1158" s="9"/>
    </row>
    <row r="1159" spans="1:1">
      <c r="A1159" s="9"/>
    </row>
    <row r="1160" spans="1:1">
      <c r="A1160" s="9"/>
    </row>
    <row r="1161" spans="1:1">
      <c r="A1161" s="9"/>
    </row>
    <row r="1162" spans="1:1">
      <c r="A1162" s="9"/>
    </row>
    <row r="1163" spans="1:1">
      <c r="A1163" s="9"/>
    </row>
    <row r="1164" spans="1:1">
      <c r="A1164" s="9"/>
    </row>
    <row r="1165" spans="1:1">
      <c r="A1165" s="9"/>
    </row>
    <row r="1166" spans="1:1">
      <c r="A1166" s="9"/>
    </row>
    <row r="1167" spans="1:1">
      <c r="A1167" s="9"/>
    </row>
    <row r="1168" spans="1:1">
      <c r="A1168" s="9"/>
    </row>
    <row r="1169" spans="1:1">
      <c r="A1169" s="9"/>
    </row>
    <row r="1170" spans="1:1">
      <c r="A1170" s="9"/>
    </row>
    <row r="1171" spans="1:1">
      <c r="A1171" s="9"/>
    </row>
    <row r="1172" spans="1:1">
      <c r="A1172" s="9"/>
    </row>
    <row r="1173" spans="1:1">
      <c r="A1173" s="9"/>
    </row>
    <row r="1174" spans="1:1">
      <c r="A1174" s="9"/>
    </row>
    <row r="1175" spans="1:1">
      <c r="A1175" s="9"/>
    </row>
    <row r="1176" spans="1:1">
      <c r="A1176" s="9"/>
    </row>
    <row r="1177" spans="1:1">
      <c r="A1177" s="9"/>
    </row>
    <row r="1178" spans="1:1">
      <c r="A1178" s="9"/>
    </row>
    <row r="1179" spans="1:1">
      <c r="A1179" s="9"/>
    </row>
    <row r="1180" spans="1:1">
      <c r="A1180" s="9"/>
    </row>
    <row r="1181" spans="1:1">
      <c r="A1181" s="9"/>
    </row>
    <row r="1182" spans="1:1">
      <c r="A1182" s="9"/>
    </row>
    <row r="1183" spans="1:1">
      <c r="A1183" s="9"/>
    </row>
    <row r="1184" spans="1:1">
      <c r="A1184" s="9"/>
    </row>
    <row r="1185" spans="1:1">
      <c r="A1185" s="9"/>
    </row>
    <row r="1186" spans="1:1">
      <c r="A1186" s="9"/>
    </row>
    <row r="1187" spans="1:1">
      <c r="A1187" s="9"/>
    </row>
    <row r="1188" spans="1:1">
      <c r="A1188" s="9"/>
    </row>
    <row r="1189" spans="1:1">
      <c r="A1189" s="9"/>
    </row>
    <row r="1190" spans="1:1">
      <c r="A1190" s="9"/>
    </row>
    <row r="1191" spans="1:1">
      <c r="A1191" s="9"/>
    </row>
    <row r="1192" spans="1:1">
      <c r="A1192" s="9"/>
    </row>
    <row r="1193" spans="1:1">
      <c r="A1193" s="9"/>
    </row>
    <row r="1194" spans="1:1">
      <c r="A1194" s="9"/>
    </row>
    <row r="1195" spans="1:1">
      <c r="A1195" s="9"/>
    </row>
    <row r="1196" spans="1:1">
      <c r="A1196" s="9"/>
    </row>
    <row r="1197" spans="1:1">
      <c r="A1197" s="9"/>
    </row>
    <row r="1198" spans="1:1">
      <c r="A1198" s="9"/>
    </row>
    <row r="1199" spans="1:1">
      <c r="A1199" s="9"/>
    </row>
    <row r="1200" spans="1:1">
      <c r="A1200" s="9"/>
    </row>
    <row r="1201" spans="1:1">
      <c r="A1201" s="9"/>
    </row>
    <row r="1202" spans="1:1">
      <c r="A1202" s="9"/>
    </row>
    <row r="1203" spans="1:1">
      <c r="A1203" s="9"/>
    </row>
    <row r="1204" spans="1:1">
      <c r="A1204" s="9"/>
    </row>
    <row r="1205" spans="1:1">
      <c r="A1205" s="9"/>
    </row>
    <row r="1206" spans="1:1">
      <c r="A1206" s="9"/>
    </row>
    <row r="1207" spans="1:1">
      <c r="A1207" s="9"/>
    </row>
    <row r="1208" spans="1:1">
      <c r="A1208" s="9"/>
    </row>
    <row r="1209" spans="1:1">
      <c r="A1209" s="9"/>
    </row>
    <row r="1210" spans="1:1">
      <c r="A1210" s="9"/>
    </row>
    <row r="1211" spans="1:1">
      <c r="A1211" s="9"/>
    </row>
    <row r="1212" spans="1:1">
      <c r="A1212" s="9"/>
    </row>
    <row r="1213" spans="1:1">
      <c r="A1213" s="9"/>
    </row>
    <row r="1214" spans="1:1">
      <c r="A1214" s="9"/>
    </row>
    <row r="1215" spans="1:1">
      <c r="A1215" s="9"/>
    </row>
    <row r="1216" spans="1:1">
      <c r="A1216" s="9"/>
    </row>
    <row r="1217" spans="1:1">
      <c r="A1217" s="9"/>
    </row>
    <row r="1218" spans="1:1">
      <c r="A1218" s="9"/>
    </row>
    <row r="1219" spans="1:1">
      <c r="A1219" s="9"/>
    </row>
    <row r="1220" spans="1:1">
      <c r="A1220" s="9"/>
    </row>
    <row r="1221" spans="1:1">
      <c r="A1221" s="9"/>
    </row>
    <row r="1222" spans="1:1">
      <c r="A1222" s="9"/>
    </row>
    <row r="1223" spans="1:1">
      <c r="A1223" s="9"/>
    </row>
    <row r="1224" spans="1:1">
      <c r="A1224" s="9"/>
    </row>
    <row r="1225" spans="1:1">
      <c r="A1225" s="9"/>
    </row>
    <row r="1226" spans="1:1">
      <c r="A1226" s="9"/>
    </row>
    <row r="1227" spans="1:1">
      <c r="A1227" s="9"/>
    </row>
    <row r="1228" spans="1:1">
      <c r="A1228" s="9"/>
    </row>
    <row r="1229" spans="1:1">
      <c r="A1229" s="9"/>
    </row>
    <row r="1230" spans="1:1">
      <c r="A1230" s="9"/>
    </row>
    <row r="1231" spans="1:1">
      <c r="A1231" s="9"/>
    </row>
    <row r="1232" spans="1:1">
      <c r="A1232" s="9"/>
    </row>
    <row r="1233" spans="1:1">
      <c r="A1233" s="9"/>
    </row>
    <row r="1234" spans="1:1">
      <c r="A1234" s="9"/>
    </row>
    <row r="1235" spans="1:1">
      <c r="A1235" s="9"/>
    </row>
    <row r="1236" spans="1:1">
      <c r="A1236" s="9"/>
    </row>
    <row r="1237" spans="1:1">
      <c r="A1237" s="9"/>
    </row>
    <row r="1238" spans="1:1">
      <c r="A1238" s="9"/>
    </row>
    <row r="1239" spans="1:1">
      <c r="A1239" s="9"/>
    </row>
    <row r="1240" spans="1:1">
      <c r="A1240" s="9"/>
    </row>
    <row r="1241" spans="1:1">
      <c r="A1241" s="9"/>
    </row>
    <row r="1242" spans="1:1">
      <c r="A1242" s="9"/>
    </row>
    <row r="1243" spans="1:1">
      <c r="A1243" s="9"/>
    </row>
    <row r="1244" spans="1:1">
      <c r="A1244" s="9"/>
    </row>
    <row r="1245" spans="1:1">
      <c r="A1245" s="9"/>
    </row>
    <row r="1246" spans="1:1">
      <c r="A1246" s="9"/>
    </row>
    <row r="1247" spans="1:1">
      <c r="A1247" s="9"/>
    </row>
    <row r="1248" spans="1:1">
      <c r="A1248" s="9"/>
    </row>
    <row r="1249" spans="1:1">
      <c r="A1249" s="9"/>
    </row>
    <row r="1250" spans="1:1">
      <c r="A1250" s="9"/>
    </row>
    <row r="1251" spans="1:1">
      <c r="A1251" s="9"/>
    </row>
    <row r="1252" spans="1:1">
      <c r="A1252" s="9"/>
    </row>
    <row r="1253" spans="1:1">
      <c r="A1253" s="9"/>
    </row>
    <row r="1254" spans="1:1">
      <c r="A1254" s="9"/>
    </row>
    <row r="1255" spans="1:1">
      <c r="A1255" s="9"/>
    </row>
    <row r="1256" spans="1:1">
      <c r="A1256" s="9"/>
    </row>
    <row r="1257" spans="1:1">
      <c r="A1257" s="9"/>
    </row>
    <row r="1258" spans="1:1">
      <c r="A1258" s="9"/>
    </row>
    <row r="1259" spans="1:1">
      <c r="A1259" s="9"/>
    </row>
    <row r="1260" spans="1:1">
      <c r="A1260" s="9"/>
    </row>
    <row r="1261" spans="1:1">
      <c r="A1261" s="9"/>
    </row>
    <row r="1262" spans="1:1">
      <c r="A1262" s="9"/>
    </row>
    <row r="1263" spans="1:1">
      <c r="A1263" s="9"/>
    </row>
    <row r="1264" spans="1:1">
      <c r="A1264" s="9"/>
    </row>
    <row r="1265" spans="1:1">
      <c r="A1265" s="9"/>
    </row>
    <row r="1266" spans="1:1">
      <c r="A1266" s="9"/>
    </row>
    <row r="1267" spans="1:1">
      <c r="A1267" s="9"/>
    </row>
    <row r="1268" spans="1:1">
      <c r="A1268" s="9"/>
    </row>
    <row r="1269" spans="1:1">
      <c r="A1269" s="9"/>
    </row>
    <row r="1270" spans="1:1">
      <c r="A1270" s="9"/>
    </row>
    <row r="1271" spans="1:1">
      <c r="A1271" s="9"/>
    </row>
    <row r="1272" spans="1:1">
      <c r="A1272" s="9"/>
    </row>
    <row r="1273" spans="1:1">
      <c r="A1273" s="9"/>
    </row>
    <row r="1274" spans="1:1">
      <c r="A1274" s="9"/>
    </row>
    <row r="1275" spans="1:1">
      <c r="A1275" s="9"/>
    </row>
    <row r="1276" spans="1:1">
      <c r="A1276" s="9"/>
    </row>
    <row r="1277" spans="1:1">
      <c r="A1277" s="9"/>
    </row>
    <row r="1278" spans="1:1">
      <c r="A1278" s="9"/>
    </row>
    <row r="1279" spans="1:1">
      <c r="A1279" s="9"/>
    </row>
    <row r="1280" spans="1:1">
      <c r="A1280" s="9"/>
    </row>
    <row r="1281" spans="1:1">
      <c r="A1281" s="9"/>
    </row>
    <row r="1282" spans="1:1">
      <c r="A1282" s="9"/>
    </row>
    <row r="1283" spans="1:1">
      <c r="A1283" s="9"/>
    </row>
    <row r="1284" spans="1:1">
      <c r="A1284" s="9"/>
    </row>
    <row r="1285" spans="1:1">
      <c r="A1285" s="9"/>
    </row>
    <row r="1286" spans="1:1">
      <c r="A1286" s="9"/>
    </row>
    <row r="1287" spans="1:1">
      <c r="A1287" s="9"/>
    </row>
    <row r="1288" spans="1:1">
      <c r="A1288" s="9"/>
    </row>
    <row r="1289" spans="1:1">
      <c r="A1289" s="9"/>
    </row>
    <row r="1290" spans="1:1">
      <c r="A1290" s="9"/>
    </row>
    <row r="1291" spans="1:1">
      <c r="A1291" s="9"/>
    </row>
    <row r="1292" spans="1:1">
      <c r="A1292" s="9"/>
    </row>
    <row r="1293" spans="1:1">
      <c r="A1293" s="9"/>
    </row>
    <row r="1294" spans="1:1">
      <c r="A1294" s="9"/>
    </row>
    <row r="1295" spans="1:1">
      <c r="A1295" s="9"/>
    </row>
    <row r="1296" spans="1:1">
      <c r="A1296" s="9"/>
    </row>
    <row r="1297" spans="1:1">
      <c r="A1297" s="9"/>
    </row>
    <row r="1298" spans="1:1">
      <c r="A1298" s="9"/>
    </row>
    <row r="1299" spans="1:1">
      <c r="A1299" s="9"/>
    </row>
    <row r="1300" spans="1:1">
      <c r="A1300" s="9"/>
    </row>
    <row r="1301" spans="1:1">
      <c r="A1301" s="9"/>
    </row>
    <row r="1302" spans="1:1">
      <c r="A1302" s="9"/>
    </row>
    <row r="1303" spans="1:1">
      <c r="A1303" s="9"/>
    </row>
    <row r="1304" spans="1:1">
      <c r="A1304" s="9"/>
    </row>
    <row r="1305" spans="1:1">
      <c r="A1305" s="9"/>
    </row>
    <row r="1306" spans="1:1">
      <c r="A1306" s="9"/>
    </row>
    <row r="1307" spans="1:1">
      <c r="A1307" s="9"/>
    </row>
    <row r="1308" spans="1:1">
      <c r="A1308" s="9"/>
    </row>
    <row r="1309" spans="1:1">
      <c r="A1309" s="9"/>
    </row>
    <row r="1310" spans="1:1">
      <c r="A1310" s="9"/>
    </row>
    <row r="1311" spans="1:1">
      <c r="A1311" s="9"/>
    </row>
    <row r="1312" spans="1:1">
      <c r="A1312" s="9"/>
    </row>
    <row r="1313" spans="1:1">
      <c r="A1313" s="9"/>
    </row>
    <row r="1314" spans="1:1">
      <c r="A1314" s="9"/>
    </row>
    <row r="1315" spans="1:1">
      <c r="A1315" s="9"/>
    </row>
    <row r="1316" spans="1:1">
      <c r="A1316" s="9"/>
    </row>
    <row r="1317" spans="1:1">
      <c r="A1317" s="9"/>
    </row>
    <row r="1318" spans="1:1">
      <c r="A1318" s="9"/>
    </row>
    <row r="1319" spans="1:1">
      <c r="A1319" s="9"/>
    </row>
    <row r="1320" spans="1:1">
      <c r="A1320" s="9"/>
    </row>
    <row r="1321" spans="1:1">
      <c r="A1321" s="9"/>
    </row>
    <row r="1322" spans="1:1">
      <c r="A1322" s="9"/>
    </row>
    <row r="1323" spans="1:1">
      <c r="A1323" s="9"/>
    </row>
    <row r="1324" spans="1:1">
      <c r="A1324" s="9"/>
    </row>
    <row r="1325" spans="1:1">
      <c r="A1325" s="9"/>
    </row>
    <row r="1326" spans="1:1">
      <c r="A1326" s="9"/>
    </row>
    <row r="1327" spans="1:1">
      <c r="A1327" s="9"/>
    </row>
    <row r="1328" spans="1:1">
      <c r="A1328" s="9"/>
    </row>
    <row r="1329" spans="1:1">
      <c r="A1329" s="9"/>
    </row>
    <row r="1330" spans="1:1">
      <c r="A1330" s="9"/>
    </row>
    <row r="1331" spans="1:1">
      <c r="A1331" s="9"/>
    </row>
    <row r="1332" spans="1:1">
      <c r="A1332" s="9"/>
    </row>
    <row r="1333" spans="1:1">
      <c r="A1333" s="9"/>
    </row>
    <row r="1334" spans="1:1">
      <c r="A1334" s="9"/>
    </row>
    <row r="1335" spans="1:1">
      <c r="A1335" s="9"/>
    </row>
    <row r="1336" spans="1:1">
      <c r="A1336" s="9"/>
    </row>
    <row r="1337" spans="1:1">
      <c r="A1337" s="9"/>
    </row>
    <row r="1338" spans="1:1">
      <c r="A1338" s="9"/>
    </row>
    <row r="1339" spans="1:1">
      <c r="A1339" s="9"/>
    </row>
    <row r="1340" spans="1:1">
      <c r="A1340" s="9"/>
    </row>
    <row r="1341" spans="1:1">
      <c r="A1341" s="9"/>
    </row>
    <row r="1342" spans="1:1">
      <c r="A1342" s="9"/>
    </row>
    <row r="1343" spans="1:1">
      <c r="A1343" s="9"/>
    </row>
    <row r="1344" spans="1:1">
      <c r="A1344" s="9"/>
    </row>
    <row r="1345" spans="1:1">
      <c r="A1345" s="9"/>
    </row>
    <row r="1346" spans="1:1">
      <c r="A1346" s="9"/>
    </row>
    <row r="1347" spans="1:1">
      <c r="A1347" s="9"/>
    </row>
    <row r="1348" spans="1:1">
      <c r="A1348" s="9"/>
    </row>
    <row r="1349" spans="1:1">
      <c r="A1349" s="9"/>
    </row>
    <row r="1350" spans="1:1">
      <c r="A1350" s="9"/>
    </row>
    <row r="1351" spans="1:1">
      <c r="A1351" s="9"/>
    </row>
    <row r="1352" spans="1:1">
      <c r="A1352" s="9"/>
    </row>
    <row r="1353" spans="1:1">
      <c r="A1353" s="9"/>
    </row>
    <row r="1354" spans="1:1">
      <c r="A1354" s="9"/>
    </row>
    <row r="1355" spans="1:1">
      <c r="A1355" s="9"/>
    </row>
    <row r="1356" spans="1:1">
      <c r="A1356" s="9"/>
    </row>
    <row r="1357" spans="1:1">
      <c r="A1357" s="9"/>
    </row>
    <row r="1358" spans="1:1">
      <c r="A1358" s="9"/>
    </row>
    <row r="1359" spans="1:1">
      <c r="A1359" s="9"/>
    </row>
    <row r="1360" spans="1:1">
      <c r="A1360" s="9"/>
    </row>
    <row r="1361" spans="1:1">
      <c r="A1361" s="9"/>
    </row>
    <row r="1362" spans="1:1">
      <c r="A1362" s="9"/>
    </row>
    <row r="1363" spans="1:1">
      <c r="A1363" s="9"/>
    </row>
    <row r="1364" spans="1:1">
      <c r="A1364" s="9"/>
    </row>
    <row r="1365" spans="1:1">
      <c r="A1365" s="9"/>
    </row>
    <row r="1366" spans="1:1">
      <c r="A1366" s="9"/>
    </row>
    <row r="1367" spans="1:1">
      <c r="A1367" s="9"/>
    </row>
    <row r="1368" spans="1:1">
      <c r="A1368" s="9"/>
    </row>
    <row r="1369" spans="1:1">
      <c r="A1369" s="9"/>
    </row>
    <row r="1370" spans="1:1">
      <c r="A1370" s="9"/>
    </row>
    <row r="1371" spans="1:1">
      <c r="A1371" s="9"/>
    </row>
    <row r="1372" spans="1:1">
      <c r="A1372" s="9"/>
    </row>
    <row r="1373" spans="1:1">
      <c r="A1373" s="9"/>
    </row>
    <row r="1374" spans="1:1">
      <c r="A1374" s="9"/>
    </row>
    <row r="1375" spans="1:1">
      <c r="A1375" s="9"/>
    </row>
    <row r="1376" spans="1:1">
      <c r="A1376" s="9"/>
    </row>
    <row r="1377" spans="1:1">
      <c r="A1377" s="9"/>
    </row>
    <row r="1378" spans="1:1">
      <c r="A1378" s="9"/>
    </row>
    <row r="1379" spans="1:1">
      <c r="A1379" s="9"/>
    </row>
    <row r="1380" spans="1:1">
      <c r="A1380" s="9"/>
    </row>
    <row r="1381" spans="1:1">
      <c r="A1381" s="9"/>
    </row>
    <row r="1382" spans="1:1">
      <c r="A1382" s="9"/>
    </row>
    <row r="1383" spans="1:1">
      <c r="A1383" s="9"/>
    </row>
    <row r="1384" spans="1:1">
      <c r="A1384" s="9"/>
    </row>
    <row r="1385" spans="1:1">
      <c r="A1385" s="9"/>
    </row>
    <row r="1386" spans="1:1">
      <c r="A1386" s="9"/>
    </row>
    <row r="1387" spans="1:1">
      <c r="A1387" s="9"/>
    </row>
    <row r="1388" spans="1:1">
      <c r="A1388" s="9"/>
    </row>
    <row r="1389" spans="1:1">
      <c r="A1389" s="9"/>
    </row>
    <row r="1390" spans="1:1">
      <c r="A1390" s="9"/>
    </row>
    <row r="1391" spans="1:1">
      <c r="A1391" s="9"/>
    </row>
    <row r="1392" spans="1:1">
      <c r="A1392" s="9"/>
    </row>
    <row r="1393" spans="1:1">
      <c r="A1393" s="9"/>
    </row>
    <row r="1394" spans="1:1">
      <c r="A1394" s="9"/>
    </row>
    <row r="1395" spans="1:1">
      <c r="A1395" s="9"/>
    </row>
    <row r="1396" spans="1:1">
      <c r="A1396" s="9"/>
    </row>
    <row r="1397" spans="1:1">
      <c r="A1397" s="9"/>
    </row>
    <row r="1398" spans="1:1">
      <c r="A1398" s="9"/>
    </row>
    <row r="1399" spans="1:1">
      <c r="A1399" s="9"/>
    </row>
    <row r="1400" spans="1:1">
      <c r="A1400" s="9"/>
    </row>
    <row r="1401" spans="1:1">
      <c r="A1401" s="9"/>
    </row>
    <row r="1402" spans="1:1">
      <c r="A1402" s="9"/>
    </row>
    <row r="1403" spans="1:1">
      <c r="A1403" s="9"/>
    </row>
    <row r="1404" spans="1:1">
      <c r="A1404" s="9"/>
    </row>
    <row r="1405" spans="1:1">
      <c r="A1405" s="9"/>
    </row>
    <row r="1406" spans="1:1">
      <c r="A1406" s="9"/>
    </row>
    <row r="1407" spans="1:1">
      <c r="A1407" s="9"/>
    </row>
    <row r="1408" spans="1:1">
      <c r="A1408" s="9"/>
    </row>
    <row r="1409" spans="1:1">
      <c r="A1409" s="9"/>
    </row>
    <row r="1410" spans="1:1">
      <c r="A1410" s="9"/>
    </row>
    <row r="1411" spans="1:1">
      <c r="A1411" s="9"/>
    </row>
    <row r="1412" spans="1:1">
      <c r="A1412" s="9"/>
    </row>
    <row r="1413" spans="1:1">
      <c r="A1413" s="9"/>
    </row>
    <row r="1414" spans="1:1">
      <c r="A1414" s="9"/>
    </row>
    <row r="1415" spans="1:1">
      <c r="A1415" s="9"/>
    </row>
    <row r="1416" spans="1:1">
      <c r="A1416" s="9"/>
    </row>
    <row r="1417" spans="1:1">
      <c r="A1417" s="9"/>
    </row>
    <row r="1418" spans="1:1">
      <c r="A1418" s="9"/>
    </row>
    <row r="1419" spans="1:1">
      <c r="A1419" s="9"/>
    </row>
    <row r="1420" spans="1:1">
      <c r="A1420" s="9"/>
    </row>
    <row r="1421" spans="1:1">
      <c r="A1421" s="9"/>
    </row>
    <row r="1422" spans="1:1">
      <c r="A1422" s="9"/>
    </row>
    <row r="1423" spans="1:1">
      <c r="A1423" s="9"/>
    </row>
    <row r="1424" spans="1:1">
      <c r="A1424" s="9"/>
    </row>
    <row r="1425" spans="1:1">
      <c r="A1425" s="9"/>
    </row>
    <row r="1426" spans="1:1">
      <c r="A1426" s="9"/>
    </row>
    <row r="1427" spans="1:1">
      <c r="A1427" s="9"/>
    </row>
    <row r="1428" spans="1:1">
      <c r="A1428" s="9"/>
    </row>
    <row r="1429" spans="1:1">
      <c r="A1429" s="9"/>
    </row>
    <row r="1430" spans="1:1">
      <c r="A1430" s="9"/>
    </row>
    <row r="1431" spans="1:1">
      <c r="A1431" s="9"/>
    </row>
    <row r="1432" spans="1:1">
      <c r="A1432" s="9"/>
    </row>
    <row r="1433" spans="1:1">
      <c r="A1433" s="9"/>
    </row>
    <row r="1434" spans="1:1">
      <c r="A1434" s="9"/>
    </row>
    <row r="1435" spans="1:1">
      <c r="A1435" s="9"/>
    </row>
    <row r="1436" spans="1:1">
      <c r="A1436" s="9"/>
    </row>
    <row r="1437" spans="1:1">
      <c r="A1437" s="9"/>
    </row>
    <row r="1438" spans="1:1">
      <c r="A1438" s="9"/>
    </row>
    <row r="1439" spans="1:1">
      <c r="A1439" s="9"/>
    </row>
    <row r="1440" spans="1:1">
      <c r="A1440" s="9"/>
    </row>
    <row r="1441" spans="1:1">
      <c r="A1441" s="9"/>
    </row>
    <row r="1442" spans="1:1">
      <c r="A1442" s="9"/>
    </row>
    <row r="1443" spans="1:1">
      <c r="A1443" s="9"/>
    </row>
    <row r="1444" spans="1:1">
      <c r="A1444" s="9"/>
    </row>
    <row r="1445" spans="1:1">
      <c r="A1445" s="9"/>
    </row>
    <row r="1446" spans="1:1">
      <c r="A1446" s="9"/>
    </row>
    <row r="1447" spans="1:1">
      <c r="A1447" s="9"/>
    </row>
    <row r="1448" spans="1:1">
      <c r="A1448" s="9"/>
    </row>
    <row r="1449" spans="1:1">
      <c r="A1449" s="9"/>
    </row>
    <row r="1450" spans="1:1">
      <c r="A1450" s="9"/>
    </row>
    <row r="1451" spans="1:1">
      <c r="A1451" s="9"/>
    </row>
    <row r="1452" spans="1:1">
      <c r="A1452" s="9"/>
    </row>
    <row r="1453" spans="1:1">
      <c r="A1453" s="9"/>
    </row>
    <row r="1454" spans="1:1">
      <c r="A1454" s="9"/>
    </row>
    <row r="1455" spans="1:1">
      <c r="A1455" s="9"/>
    </row>
    <row r="1456" spans="1:1">
      <c r="A1456" s="9"/>
    </row>
    <row r="1457" spans="1:1">
      <c r="A1457" s="9"/>
    </row>
    <row r="1458" spans="1:1">
      <c r="A1458" s="9"/>
    </row>
    <row r="1459" spans="1:1">
      <c r="A1459" s="9"/>
    </row>
    <row r="1460" spans="1:1">
      <c r="A1460" s="9"/>
    </row>
    <row r="1461" spans="1:1">
      <c r="A1461" s="9"/>
    </row>
    <row r="1462" spans="1:1">
      <c r="A1462" s="9"/>
    </row>
    <row r="1463" spans="1:1">
      <c r="A1463" s="9"/>
    </row>
    <row r="1464" spans="1:1">
      <c r="A1464" s="9"/>
    </row>
    <row r="1465" spans="1:1">
      <c r="A1465" s="9"/>
    </row>
    <row r="1466" spans="1:1">
      <c r="A1466" s="9"/>
    </row>
    <row r="1467" spans="1:1">
      <c r="A1467" s="9"/>
    </row>
    <row r="1468" spans="1:1">
      <c r="A1468" s="9"/>
    </row>
    <row r="1469" spans="1:1">
      <c r="A1469" s="9"/>
    </row>
    <row r="1470" spans="1:1">
      <c r="A1470" s="9"/>
    </row>
    <row r="1471" spans="1:1">
      <c r="A1471" s="9"/>
    </row>
    <row r="1472" spans="1:1">
      <c r="A1472" s="9"/>
    </row>
    <row r="1473" spans="1:1">
      <c r="A1473" s="9"/>
    </row>
    <row r="1474" spans="1:1">
      <c r="A1474" s="9"/>
    </row>
    <row r="1475" spans="1:1">
      <c r="A1475" s="9"/>
    </row>
    <row r="1476" spans="1:1">
      <c r="A1476" s="9"/>
    </row>
    <row r="1477" spans="1:1">
      <c r="A1477" s="9"/>
    </row>
    <row r="1478" spans="1:1">
      <c r="A1478" s="9"/>
    </row>
    <row r="1479" spans="1:1">
      <c r="A1479" s="9"/>
    </row>
    <row r="1480" spans="1:1">
      <c r="A1480" s="9"/>
    </row>
    <row r="1481" spans="1:1">
      <c r="A1481" s="9"/>
    </row>
    <row r="1482" spans="1:1">
      <c r="A1482" s="9"/>
    </row>
    <row r="1483" spans="1:1">
      <c r="A1483" s="9"/>
    </row>
    <row r="1484" spans="1:1">
      <c r="A1484" s="9"/>
    </row>
    <row r="1485" spans="1:1">
      <c r="A1485" s="9"/>
    </row>
    <row r="1486" spans="1:1">
      <c r="A1486" s="9"/>
    </row>
    <row r="1487" spans="1:1">
      <c r="A1487" s="9"/>
    </row>
    <row r="1488" spans="1:1">
      <c r="A1488" s="9"/>
    </row>
    <row r="1489" spans="1:1">
      <c r="A1489" s="9"/>
    </row>
    <row r="1490" spans="1:1">
      <c r="A1490" s="9"/>
    </row>
    <row r="1491" spans="1:1">
      <c r="A1491" s="9"/>
    </row>
    <row r="1492" spans="1:1">
      <c r="A1492" s="9"/>
    </row>
    <row r="1493" spans="1:1">
      <c r="A1493" s="9"/>
    </row>
    <row r="1494" spans="1:1">
      <c r="A1494" s="9"/>
    </row>
    <row r="1495" spans="1:1">
      <c r="A1495" s="9"/>
    </row>
    <row r="1496" spans="1:1">
      <c r="A1496" s="9"/>
    </row>
    <row r="1497" spans="1:1">
      <c r="A1497" s="9"/>
    </row>
    <row r="1498" spans="1:1">
      <c r="A1498" s="9"/>
    </row>
    <row r="1499" spans="1:1">
      <c r="A1499" s="9"/>
    </row>
    <row r="1500" spans="1:1">
      <c r="A1500" s="9"/>
    </row>
    <row r="1501" spans="1:1">
      <c r="A1501" s="9"/>
    </row>
    <row r="1502" spans="1:1">
      <c r="A1502" s="9"/>
    </row>
    <row r="1503" spans="1:1">
      <c r="A1503" s="9"/>
    </row>
    <row r="1504" spans="1:1">
      <c r="A1504" s="9"/>
    </row>
    <row r="1505" spans="1:1">
      <c r="A1505" s="9"/>
    </row>
    <row r="1506" spans="1:1">
      <c r="A1506" s="9"/>
    </row>
    <row r="1507" spans="1:1">
      <c r="A1507" s="9"/>
    </row>
    <row r="1508" spans="1:1">
      <c r="A1508" s="9"/>
    </row>
    <row r="1509" spans="1:1">
      <c r="A1509" s="9"/>
    </row>
    <row r="1510" spans="1:1">
      <c r="A1510" s="9"/>
    </row>
    <row r="1511" spans="1:1">
      <c r="A1511" s="9"/>
    </row>
    <row r="1512" spans="1:1">
      <c r="A1512" s="9"/>
    </row>
    <row r="1513" spans="1:1">
      <c r="A1513" s="9"/>
    </row>
    <row r="1514" spans="1:1">
      <c r="A1514" s="9"/>
    </row>
    <row r="1515" spans="1:1">
      <c r="A1515" s="9"/>
    </row>
    <row r="1516" spans="1:1">
      <c r="A1516" s="9"/>
    </row>
    <row r="1517" spans="1:1">
      <c r="A1517" s="9"/>
    </row>
    <row r="1518" spans="1:1">
      <c r="A1518" s="9"/>
    </row>
    <row r="1519" spans="1:1">
      <c r="A1519" s="9"/>
    </row>
    <row r="1520" spans="1:1">
      <c r="A1520" s="9"/>
    </row>
    <row r="1521" spans="1:1">
      <c r="A1521" s="9"/>
    </row>
    <row r="1522" spans="1:1">
      <c r="A1522" s="9"/>
    </row>
    <row r="1523" spans="1:1">
      <c r="A1523" s="9"/>
    </row>
    <row r="1524" spans="1:1">
      <c r="A1524" s="9"/>
    </row>
    <row r="1525" spans="1:1">
      <c r="A1525" s="9"/>
    </row>
    <row r="1526" spans="1:1">
      <c r="A1526" s="9"/>
    </row>
    <row r="1527" spans="1:1">
      <c r="A1527" s="9"/>
    </row>
    <row r="1528" spans="1:1">
      <c r="A1528" s="9"/>
    </row>
    <row r="1529" spans="1:1">
      <c r="A1529" s="9"/>
    </row>
    <row r="1530" spans="1:1">
      <c r="A1530" s="9"/>
    </row>
    <row r="1531" spans="1:1">
      <c r="A1531" s="9"/>
    </row>
    <row r="1532" spans="1:1">
      <c r="A1532" s="9"/>
    </row>
    <row r="1533" spans="1:1">
      <c r="A1533" s="9"/>
    </row>
    <row r="1534" spans="1:1">
      <c r="A1534" s="9"/>
    </row>
    <row r="1535" spans="1:1">
      <c r="A1535" s="9"/>
    </row>
    <row r="1536" spans="1:1">
      <c r="A1536" s="9"/>
    </row>
    <row r="1537" spans="1:1">
      <c r="A1537" s="9"/>
    </row>
    <row r="1538" spans="1:1">
      <c r="A1538" s="9"/>
    </row>
    <row r="1539" spans="1:1">
      <c r="A1539" s="9"/>
    </row>
    <row r="1540" spans="1:1">
      <c r="A1540" s="9"/>
    </row>
    <row r="1541" spans="1:1">
      <c r="A1541" s="9"/>
    </row>
    <row r="1542" spans="1:1">
      <c r="A1542" s="9"/>
    </row>
    <row r="1543" spans="1:1">
      <c r="A1543" s="9"/>
    </row>
    <row r="1544" spans="1:1">
      <c r="A1544" s="9"/>
    </row>
    <row r="1545" spans="1:1">
      <c r="A1545" s="9"/>
    </row>
    <row r="1546" spans="1:1">
      <c r="A1546" s="9"/>
    </row>
    <row r="1547" spans="1:1">
      <c r="A1547" s="9"/>
    </row>
    <row r="1548" spans="1:1">
      <c r="A1548" s="9"/>
    </row>
    <row r="1549" spans="1:1">
      <c r="A1549" s="9"/>
    </row>
    <row r="1550" spans="1:1">
      <c r="A1550" s="9"/>
    </row>
    <row r="1551" spans="1:1">
      <c r="A1551" s="9"/>
    </row>
    <row r="1552" spans="1:1">
      <c r="A1552" s="9"/>
    </row>
    <row r="1553" spans="1:1">
      <c r="A1553" s="9"/>
    </row>
    <row r="1554" spans="1:1">
      <c r="A1554" s="9"/>
    </row>
    <row r="1555" spans="1:1">
      <c r="A1555" s="9"/>
    </row>
    <row r="1556" spans="1:1">
      <c r="A1556" s="9"/>
    </row>
    <row r="1557" spans="1:1">
      <c r="A1557" s="9"/>
    </row>
    <row r="1558" spans="1:1">
      <c r="A1558" s="9"/>
    </row>
    <row r="1559" spans="1:1">
      <c r="A1559" s="9"/>
    </row>
    <row r="1560" spans="1:1">
      <c r="A1560" s="9"/>
    </row>
    <row r="1561" spans="1:1">
      <c r="A1561" s="9"/>
    </row>
    <row r="1562" spans="1:1">
      <c r="A1562" s="9"/>
    </row>
    <row r="1563" spans="1:1">
      <c r="A1563" s="9"/>
    </row>
    <row r="1564" spans="1:1">
      <c r="A1564" s="9"/>
    </row>
    <row r="1565" spans="1:1">
      <c r="A1565" s="9"/>
    </row>
    <row r="1566" spans="1:1">
      <c r="A1566" s="9"/>
    </row>
    <row r="1567" spans="1:1">
      <c r="A1567" s="9"/>
    </row>
    <row r="1568" spans="1:1">
      <c r="A1568" s="9"/>
    </row>
    <row r="1569" spans="1:1">
      <c r="A1569" s="9"/>
    </row>
    <row r="1570" spans="1:1">
      <c r="A1570" s="9"/>
    </row>
    <row r="1571" spans="1:1">
      <c r="A1571" s="9"/>
    </row>
    <row r="1572" spans="1:1">
      <c r="A1572" s="9"/>
    </row>
    <row r="1573" spans="1:1">
      <c r="A1573" s="9"/>
    </row>
    <row r="1574" spans="1:1">
      <c r="A1574" s="9"/>
    </row>
    <row r="1575" spans="1:1">
      <c r="A1575" s="9"/>
    </row>
    <row r="1576" spans="1:1">
      <c r="A1576" s="9"/>
    </row>
    <row r="1577" spans="1:1">
      <c r="A1577" s="9"/>
    </row>
    <row r="1578" spans="1:1">
      <c r="A1578" s="9"/>
    </row>
    <row r="1579" spans="1:1">
      <c r="A1579" s="9"/>
    </row>
    <row r="1580" spans="1:1">
      <c r="A1580" s="9"/>
    </row>
    <row r="1581" spans="1:1">
      <c r="A1581" s="9"/>
    </row>
    <row r="1582" spans="1:1">
      <c r="A1582" s="9"/>
    </row>
    <row r="1583" spans="1:1">
      <c r="A1583" s="9"/>
    </row>
    <row r="1584" spans="1:1">
      <c r="A1584" s="9"/>
    </row>
    <row r="1585" spans="1:1">
      <c r="A1585" s="9"/>
    </row>
    <row r="1586" spans="1:1">
      <c r="A1586" s="9"/>
    </row>
    <row r="1587" spans="1:1">
      <c r="A1587" s="9"/>
    </row>
    <row r="1588" spans="1:1">
      <c r="A1588" s="9"/>
    </row>
    <row r="1589" spans="1:1">
      <c r="A1589" s="9"/>
    </row>
    <row r="1590" spans="1:1">
      <c r="A1590" s="9"/>
    </row>
    <row r="1591" spans="1:1">
      <c r="A1591" s="9"/>
    </row>
    <row r="1592" spans="1:1">
      <c r="A1592" s="9"/>
    </row>
    <row r="1593" spans="1:1">
      <c r="A1593" s="9"/>
    </row>
    <row r="1594" spans="1:1">
      <c r="A1594" s="9"/>
    </row>
    <row r="1595" spans="1:1">
      <c r="A1595" s="9"/>
    </row>
    <row r="1596" spans="1:1">
      <c r="A1596" s="9"/>
    </row>
    <row r="1597" spans="1:1">
      <c r="A1597" s="9"/>
    </row>
    <row r="1598" spans="1:1">
      <c r="A1598" s="9"/>
    </row>
    <row r="1599" spans="1:1">
      <c r="A1599" s="9"/>
    </row>
    <row r="1600" spans="1:1">
      <c r="A1600" s="9"/>
    </row>
    <row r="1601" spans="1:1">
      <c r="A1601" s="9"/>
    </row>
    <row r="1602" spans="1:1">
      <c r="A1602" s="9"/>
    </row>
    <row r="1603" spans="1:1">
      <c r="A1603" s="9"/>
    </row>
    <row r="1604" spans="1:1">
      <c r="A1604" s="9"/>
    </row>
    <row r="1605" spans="1:1">
      <c r="A1605" s="9"/>
    </row>
    <row r="1606" spans="1:1">
      <c r="A1606" s="9"/>
    </row>
    <row r="1607" spans="1:1">
      <c r="A1607" s="9"/>
    </row>
    <row r="1608" spans="1:1">
      <c r="A1608" s="9"/>
    </row>
    <row r="1609" spans="1:1">
      <c r="A1609" s="9"/>
    </row>
    <row r="1610" spans="1:1">
      <c r="A1610" s="9"/>
    </row>
    <row r="1611" spans="1:1">
      <c r="A1611" s="9"/>
    </row>
    <row r="1612" spans="1:1">
      <c r="A1612" s="9"/>
    </row>
    <row r="1613" spans="1:1">
      <c r="A1613" s="9"/>
    </row>
    <row r="1614" spans="1:1">
      <c r="A1614" s="9"/>
    </row>
    <row r="1615" spans="1:1">
      <c r="A1615" s="9"/>
    </row>
    <row r="1616" spans="1:1">
      <c r="A1616" s="9"/>
    </row>
    <row r="1617" spans="1:1">
      <c r="A1617" s="9"/>
    </row>
    <row r="1618" spans="1:1">
      <c r="A1618" s="9"/>
    </row>
    <row r="1619" spans="1:1">
      <c r="A1619" s="9"/>
    </row>
    <row r="1620" spans="1:1">
      <c r="A1620" s="9"/>
    </row>
    <row r="1621" spans="1:1">
      <c r="A1621" s="9"/>
    </row>
    <row r="1622" spans="1:1">
      <c r="A1622" s="9"/>
    </row>
    <row r="1623" spans="1:1">
      <c r="A1623" s="9"/>
    </row>
    <row r="1624" spans="1:1">
      <c r="A1624" s="9"/>
    </row>
    <row r="1625" spans="1:1">
      <c r="A1625" s="9"/>
    </row>
    <row r="1626" spans="1:1">
      <c r="A1626" s="9"/>
    </row>
    <row r="1627" spans="1:1">
      <c r="A1627" s="9"/>
    </row>
    <row r="1628" spans="1:1">
      <c r="A1628" s="9"/>
    </row>
    <row r="1629" spans="1:1">
      <c r="A1629" s="9"/>
    </row>
    <row r="1630" spans="1:1">
      <c r="A1630" s="9"/>
    </row>
    <row r="1631" spans="1:1">
      <c r="A1631" s="9"/>
    </row>
    <row r="1632" spans="1:1">
      <c r="A1632" s="9"/>
    </row>
    <row r="1633" spans="1:1">
      <c r="A1633" s="9"/>
    </row>
    <row r="1634" spans="1:1">
      <c r="A1634" s="9"/>
    </row>
    <row r="1635" spans="1:1">
      <c r="A1635" s="9"/>
    </row>
    <row r="1636" spans="1:1">
      <c r="A1636" s="9"/>
    </row>
    <row r="1637" spans="1:1">
      <c r="A1637" s="9"/>
    </row>
    <row r="1638" spans="1:1">
      <c r="A1638" s="9"/>
    </row>
    <row r="1639" spans="1:1">
      <c r="A1639" s="9"/>
    </row>
    <row r="1640" spans="1:1">
      <c r="A1640" s="9"/>
    </row>
    <row r="1641" spans="1:1">
      <c r="A1641" s="9"/>
    </row>
    <row r="1642" spans="1:1">
      <c r="A1642" s="9"/>
    </row>
    <row r="1643" spans="1:1">
      <c r="A1643" s="9"/>
    </row>
    <row r="1644" spans="1:1">
      <c r="A1644" s="9"/>
    </row>
    <row r="1645" spans="1:1">
      <c r="A1645" s="9"/>
    </row>
    <row r="1646" spans="1:1">
      <c r="A1646" s="9"/>
    </row>
    <row r="1647" spans="1:1">
      <c r="A1647" s="9"/>
    </row>
    <row r="1648" spans="1:1">
      <c r="A1648" s="9"/>
    </row>
    <row r="1649" spans="1:1">
      <c r="A1649" s="9"/>
    </row>
    <row r="1650" spans="1:1">
      <c r="A1650" s="9"/>
    </row>
    <row r="1651" spans="1:1">
      <c r="A1651" s="9"/>
    </row>
    <row r="1652" spans="1:1">
      <c r="A1652" s="9"/>
    </row>
    <row r="1653" spans="1:1">
      <c r="A1653" s="9"/>
    </row>
    <row r="1654" spans="1:1">
      <c r="A1654" s="9"/>
    </row>
    <row r="1655" spans="1:1">
      <c r="A1655" s="9"/>
    </row>
    <row r="1656" spans="1:1">
      <c r="A1656" s="9"/>
    </row>
    <row r="1657" spans="1:1">
      <c r="A1657" s="9"/>
    </row>
    <row r="1658" spans="1:1">
      <c r="A1658" s="9"/>
    </row>
    <row r="1659" spans="1:1">
      <c r="A1659" s="9"/>
    </row>
    <row r="1660" spans="1:1">
      <c r="A1660" s="9"/>
    </row>
    <row r="1661" spans="1:1">
      <c r="A1661" s="9"/>
    </row>
    <row r="1662" spans="1:1">
      <c r="A1662" s="9"/>
    </row>
    <row r="1663" spans="1:1">
      <c r="A1663" s="9"/>
    </row>
    <row r="1664" spans="1:1">
      <c r="A1664" s="9"/>
    </row>
    <row r="1665" spans="1:1">
      <c r="A1665" s="9"/>
    </row>
    <row r="1666" spans="1:1">
      <c r="A1666" s="9"/>
    </row>
    <row r="1667" spans="1:1">
      <c r="A1667" s="9"/>
    </row>
    <row r="1668" spans="1:1">
      <c r="A1668" s="9"/>
    </row>
    <row r="1669" spans="1:1">
      <c r="A1669" s="9"/>
    </row>
    <row r="1670" spans="1:1">
      <c r="A1670" s="9"/>
    </row>
    <row r="1671" spans="1:1">
      <c r="A1671" s="9"/>
    </row>
    <row r="1672" spans="1:1">
      <c r="A1672" s="9"/>
    </row>
    <row r="1673" spans="1:1">
      <c r="A1673" s="9"/>
    </row>
    <row r="1674" spans="1:1">
      <c r="A1674" s="9"/>
    </row>
    <row r="1675" spans="1:1">
      <c r="A1675" s="9"/>
    </row>
    <row r="1676" spans="1:1">
      <c r="A1676" s="9"/>
    </row>
    <row r="1677" spans="1:1">
      <c r="A1677" s="9"/>
    </row>
    <row r="1678" spans="1:1">
      <c r="A1678" s="9"/>
    </row>
    <row r="1679" spans="1:1">
      <c r="A1679" s="9"/>
    </row>
    <row r="1680" spans="1:1">
      <c r="A1680" s="9"/>
    </row>
    <row r="1681" spans="1:1">
      <c r="A1681" s="9"/>
    </row>
    <row r="1682" spans="1:1">
      <c r="A1682" s="9"/>
    </row>
    <row r="1683" spans="1:1">
      <c r="A1683" s="9"/>
    </row>
    <row r="1684" spans="1:1">
      <c r="A1684" s="9"/>
    </row>
    <row r="1685" spans="1:1">
      <c r="A1685" s="9"/>
    </row>
    <row r="1686" spans="1:1">
      <c r="A1686" s="9"/>
    </row>
    <row r="1687" spans="1:1">
      <c r="A1687" s="9"/>
    </row>
    <row r="1688" spans="1:1">
      <c r="A1688" s="9"/>
    </row>
    <row r="1689" spans="1:1">
      <c r="A1689" s="9"/>
    </row>
    <row r="1690" spans="1:1">
      <c r="A1690" s="9"/>
    </row>
    <row r="1691" spans="1:1">
      <c r="A1691" s="9"/>
    </row>
    <row r="1692" spans="1:1">
      <c r="A1692" s="9"/>
    </row>
    <row r="1693" spans="1:1">
      <c r="A1693" s="9"/>
    </row>
    <row r="1694" spans="1:1">
      <c r="A1694" s="9"/>
    </row>
    <row r="1695" spans="1:1">
      <c r="A1695" s="9"/>
    </row>
    <row r="1696" spans="1:1">
      <c r="A1696" s="9"/>
    </row>
    <row r="1697" spans="1:1">
      <c r="A1697" s="9"/>
    </row>
    <row r="1698" spans="1:1">
      <c r="A1698" s="9"/>
    </row>
    <row r="1699" spans="1:1">
      <c r="A1699" s="9"/>
    </row>
    <row r="1700" spans="1:1">
      <c r="A1700" s="9"/>
    </row>
    <row r="1701" spans="1:1">
      <c r="A1701" s="9"/>
    </row>
    <row r="1702" spans="1:1">
      <c r="A1702" s="9"/>
    </row>
    <row r="1703" spans="1:1">
      <c r="A1703" s="9"/>
    </row>
    <row r="1704" spans="1:1">
      <c r="A1704" s="9"/>
    </row>
    <row r="1705" spans="1:1">
      <c r="A1705" s="9"/>
    </row>
    <row r="1706" spans="1:1">
      <c r="A1706" s="9"/>
    </row>
    <row r="1707" spans="1:1">
      <c r="A1707" s="9"/>
    </row>
    <row r="1708" spans="1:1">
      <c r="A1708" s="9"/>
    </row>
    <row r="1709" spans="1:1">
      <c r="A1709" s="9"/>
    </row>
    <row r="1710" spans="1:1">
      <c r="A1710" s="9"/>
    </row>
    <row r="1711" spans="1:1">
      <c r="A1711" s="9"/>
    </row>
    <row r="1712" spans="1:1">
      <c r="A1712" s="9"/>
    </row>
    <row r="1713" spans="1:1">
      <c r="A1713" s="9"/>
    </row>
    <row r="1714" spans="1:1">
      <c r="A1714" s="9"/>
    </row>
    <row r="1715" spans="1:1">
      <c r="A1715" s="9"/>
    </row>
    <row r="1716" spans="1:1">
      <c r="A1716" s="9"/>
    </row>
    <row r="1717" spans="1:1">
      <c r="A1717" s="9"/>
    </row>
    <row r="1718" spans="1:1">
      <c r="A1718" s="9"/>
    </row>
    <row r="1719" spans="1:1">
      <c r="A1719" s="9"/>
    </row>
    <row r="1720" spans="1:1">
      <c r="A1720" s="9"/>
    </row>
    <row r="1721" spans="1:1">
      <c r="A1721" s="9"/>
    </row>
    <row r="1722" spans="1:1">
      <c r="A1722" s="9"/>
    </row>
    <row r="1723" spans="1:1">
      <c r="A1723" s="9"/>
    </row>
    <row r="1724" spans="1:1">
      <c r="A1724" s="9"/>
    </row>
    <row r="1725" spans="1:1">
      <c r="A1725" s="9"/>
    </row>
    <row r="1726" spans="1:1">
      <c r="A1726" s="9"/>
    </row>
    <row r="1727" spans="1:1">
      <c r="A1727" s="9"/>
    </row>
    <row r="1728" spans="1:1">
      <c r="A1728" s="9"/>
    </row>
    <row r="1729" spans="1:1">
      <c r="A1729" s="9"/>
    </row>
    <row r="1730" spans="1:1">
      <c r="A1730" s="9"/>
    </row>
    <row r="1731" spans="1:1">
      <c r="A1731" s="9"/>
    </row>
    <row r="1732" spans="1:1">
      <c r="A1732" s="9"/>
    </row>
    <row r="1733" spans="1:1">
      <c r="A1733" s="9"/>
    </row>
    <row r="1734" spans="1:1">
      <c r="A1734" s="9"/>
    </row>
    <row r="1735" spans="1:1">
      <c r="A1735" s="9"/>
    </row>
    <row r="1736" spans="1:1">
      <c r="A1736" s="9"/>
    </row>
    <row r="1737" spans="1:1">
      <c r="A1737" s="9"/>
    </row>
    <row r="1738" spans="1:1">
      <c r="A1738" s="9"/>
    </row>
    <row r="1739" spans="1:1">
      <c r="A1739" s="9"/>
    </row>
    <row r="1740" spans="1:1">
      <c r="A1740" s="9"/>
    </row>
    <row r="1741" spans="1:1">
      <c r="A1741" s="9"/>
    </row>
    <row r="1742" spans="1:1">
      <c r="A1742" s="9"/>
    </row>
    <row r="1743" spans="1:1">
      <c r="A1743" s="9"/>
    </row>
    <row r="1744" spans="1:1">
      <c r="A1744" s="9"/>
    </row>
    <row r="1745" spans="1:1">
      <c r="A1745" s="9"/>
    </row>
    <row r="1746" spans="1:1">
      <c r="A1746" s="9"/>
    </row>
    <row r="1747" spans="1:1">
      <c r="A1747" s="9"/>
    </row>
    <row r="1748" spans="1:1">
      <c r="A1748" s="9"/>
    </row>
    <row r="1749" spans="1:1">
      <c r="A1749" s="9"/>
    </row>
    <row r="1750" spans="1:1">
      <c r="A1750" s="9"/>
    </row>
    <row r="1751" spans="1:1">
      <c r="A1751" s="9"/>
    </row>
    <row r="1752" spans="1:1">
      <c r="A1752" s="9"/>
    </row>
    <row r="1753" spans="1:1">
      <c r="A1753" s="9"/>
    </row>
    <row r="1754" spans="1:1">
      <c r="A1754" s="9"/>
    </row>
    <row r="1755" spans="1:1">
      <c r="A1755" s="9"/>
    </row>
    <row r="1756" spans="1:1">
      <c r="A1756" s="9"/>
    </row>
    <row r="1757" spans="1:1">
      <c r="A1757" s="9"/>
    </row>
    <row r="1758" spans="1:1">
      <c r="A1758" s="9"/>
    </row>
    <row r="1759" spans="1:1">
      <c r="A1759" s="9"/>
    </row>
    <row r="1760" spans="1:1">
      <c r="A1760" s="9"/>
    </row>
    <row r="1761" spans="1:1">
      <c r="A1761" s="9"/>
    </row>
    <row r="1762" spans="1:1">
      <c r="A1762" s="9"/>
    </row>
    <row r="1763" spans="1:1">
      <c r="A1763" s="9"/>
    </row>
    <row r="1764" spans="1:1">
      <c r="A1764" s="9"/>
    </row>
    <row r="1765" spans="1:1">
      <c r="A1765" s="9"/>
    </row>
    <row r="1766" spans="1:1">
      <c r="A1766" s="9"/>
    </row>
    <row r="1767" spans="1:1">
      <c r="A1767" s="9"/>
    </row>
    <row r="1768" spans="1:1">
      <c r="A1768" s="9"/>
    </row>
    <row r="1769" spans="1:1">
      <c r="A1769" s="9"/>
    </row>
    <row r="1770" spans="1:1">
      <c r="A1770" s="9"/>
    </row>
    <row r="1771" spans="1:1">
      <c r="A1771" s="9"/>
    </row>
    <row r="1772" spans="1:1">
      <c r="A1772" s="9"/>
    </row>
    <row r="1773" spans="1:1">
      <c r="A1773" s="9"/>
    </row>
    <row r="1774" spans="1:1">
      <c r="A1774" s="9"/>
    </row>
    <row r="1775" spans="1:1">
      <c r="A1775" s="9"/>
    </row>
    <row r="1776" spans="1:1">
      <c r="A1776" s="9"/>
    </row>
    <row r="1777" spans="1:1">
      <c r="A1777" s="9"/>
    </row>
    <row r="1778" spans="1:1">
      <c r="A1778" s="9"/>
    </row>
    <row r="1779" spans="1:1">
      <c r="A1779" s="9"/>
    </row>
    <row r="1780" spans="1:1">
      <c r="A1780" s="9"/>
    </row>
    <row r="1781" spans="1:1">
      <c r="A1781" s="9"/>
    </row>
    <row r="1782" spans="1:1">
      <c r="A1782" s="9"/>
    </row>
    <row r="1783" spans="1:1">
      <c r="A1783" s="9"/>
    </row>
    <row r="1784" spans="1:1">
      <c r="A1784" s="9"/>
    </row>
    <row r="1785" spans="1:1">
      <c r="A1785" s="9"/>
    </row>
    <row r="1786" spans="1:1">
      <c r="A1786" s="9"/>
    </row>
    <row r="1787" spans="1:1">
      <c r="A1787" s="9"/>
    </row>
    <row r="1788" spans="1:1">
      <c r="A1788" s="9"/>
    </row>
    <row r="1789" spans="1:1">
      <c r="A1789" s="9"/>
    </row>
    <row r="1790" spans="1:1">
      <c r="A1790" s="9"/>
    </row>
    <row r="1791" spans="1:1">
      <c r="A1791" s="9"/>
    </row>
    <row r="1792" spans="1:1">
      <c r="A1792" s="9"/>
    </row>
    <row r="1793" spans="1:1">
      <c r="A1793" s="9"/>
    </row>
    <row r="1794" spans="1:1">
      <c r="A1794" s="9"/>
    </row>
    <row r="1795" spans="1:1">
      <c r="A1795" s="9"/>
    </row>
    <row r="1796" spans="1:1">
      <c r="A1796" s="9"/>
    </row>
    <row r="1797" spans="1:1">
      <c r="A1797" s="9"/>
    </row>
    <row r="1798" spans="1:1">
      <c r="A1798" s="9"/>
    </row>
    <row r="1799" spans="1:1">
      <c r="A1799" s="9"/>
    </row>
    <row r="1800" spans="1:1">
      <c r="A1800" s="9"/>
    </row>
    <row r="1801" spans="1:1">
      <c r="A1801" s="9"/>
    </row>
    <row r="1802" spans="1:1">
      <c r="A1802" s="9"/>
    </row>
    <row r="1803" spans="1:1">
      <c r="A1803" s="9"/>
    </row>
    <row r="1804" spans="1:1">
      <c r="A1804" s="9"/>
    </row>
    <row r="1805" spans="1:1">
      <c r="A1805" s="9"/>
    </row>
    <row r="1806" spans="1:1">
      <c r="A1806" s="9"/>
    </row>
    <row r="1807" spans="1:1">
      <c r="A1807" s="9"/>
    </row>
    <row r="1808" spans="1:1">
      <c r="A1808" s="9"/>
    </row>
    <row r="1809" spans="1:1">
      <c r="A1809" s="9"/>
    </row>
    <row r="1810" spans="1:1">
      <c r="A1810" s="9"/>
    </row>
    <row r="1811" spans="1:1">
      <c r="A1811" s="9"/>
    </row>
    <row r="1812" spans="1:1">
      <c r="A1812" s="9"/>
    </row>
    <row r="1813" spans="1:1">
      <c r="A1813" s="9"/>
    </row>
    <row r="1814" spans="1:1">
      <c r="A1814" s="9"/>
    </row>
    <row r="1815" spans="1:1">
      <c r="A1815" s="9"/>
    </row>
    <row r="1816" spans="1:1">
      <c r="A1816" s="9"/>
    </row>
    <row r="1817" spans="1:1">
      <c r="A1817" s="9"/>
    </row>
    <row r="1818" spans="1:1">
      <c r="A1818" s="9"/>
    </row>
    <row r="1819" spans="1:1">
      <c r="A1819" s="9"/>
    </row>
    <row r="1820" spans="1:1">
      <c r="A1820" s="9"/>
    </row>
    <row r="1821" spans="1:1">
      <c r="A1821" s="9"/>
    </row>
    <row r="1822" spans="1:1">
      <c r="A1822" s="9"/>
    </row>
    <row r="1823" spans="1:1">
      <c r="A1823" s="9"/>
    </row>
    <row r="1824" spans="1:1">
      <c r="A1824" s="9"/>
    </row>
    <row r="1825" spans="1:1">
      <c r="A1825" s="9"/>
    </row>
    <row r="1826" spans="1:1">
      <c r="A1826" s="9"/>
    </row>
    <row r="1827" spans="1:1">
      <c r="A1827" s="9"/>
    </row>
    <row r="1828" spans="1:1">
      <c r="A1828" s="9"/>
    </row>
    <row r="1829" spans="1:1">
      <c r="A1829" s="9"/>
    </row>
    <row r="1830" spans="1:1">
      <c r="A1830" s="9"/>
    </row>
    <row r="1831" spans="1:1">
      <c r="A1831" s="9"/>
    </row>
    <row r="1832" spans="1:1">
      <c r="A1832" s="9"/>
    </row>
    <row r="1833" spans="1:1">
      <c r="A1833" s="9"/>
    </row>
    <row r="1834" spans="1:1">
      <c r="A1834" s="9"/>
    </row>
    <row r="1835" spans="1:1">
      <c r="A1835" s="9"/>
    </row>
    <row r="1836" spans="1:1">
      <c r="A1836" s="9"/>
    </row>
    <row r="1837" spans="1:1">
      <c r="A1837" s="9"/>
    </row>
    <row r="1838" spans="1:1">
      <c r="A1838" s="9"/>
    </row>
    <row r="1839" spans="1:1">
      <c r="A1839" s="9"/>
    </row>
    <row r="1840" spans="1:1">
      <c r="A1840" s="9"/>
    </row>
    <row r="1841" spans="1:1">
      <c r="A1841" s="9"/>
    </row>
    <row r="1842" spans="1:1">
      <c r="A1842" s="9"/>
    </row>
    <row r="1843" spans="1:1">
      <c r="A1843" s="9"/>
    </row>
    <row r="1844" spans="1:1">
      <c r="A1844" s="9"/>
    </row>
    <row r="1845" spans="1:1">
      <c r="A1845" s="9"/>
    </row>
    <row r="1846" spans="1:1">
      <c r="A1846" s="9"/>
    </row>
    <row r="1847" spans="1:1">
      <c r="A1847" s="9"/>
    </row>
    <row r="1848" spans="1:1">
      <c r="A1848" s="9"/>
    </row>
    <row r="1849" spans="1:1">
      <c r="A1849" s="9"/>
    </row>
    <row r="1850" spans="1:1">
      <c r="A1850" s="9"/>
    </row>
    <row r="1851" spans="1:1">
      <c r="A1851" s="9"/>
    </row>
    <row r="1852" spans="1:1">
      <c r="A1852" s="9"/>
    </row>
    <row r="1853" spans="1:1">
      <c r="A1853" s="9"/>
    </row>
    <row r="1854" spans="1:1">
      <c r="A1854" s="9"/>
    </row>
    <row r="1855" spans="1:1">
      <c r="A1855" s="9"/>
    </row>
    <row r="1856" spans="1:1">
      <c r="A1856" s="9"/>
    </row>
    <row r="1857" spans="1:1">
      <c r="A1857" s="9"/>
    </row>
    <row r="1858" spans="1:1">
      <c r="A1858" s="9"/>
    </row>
    <row r="1859" spans="1:1">
      <c r="A1859" s="9"/>
    </row>
    <row r="1860" spans="1:1">
      <c r="A1860" s="9"/>
    </row>
    <row r="1861" spans="1:1">
      <c r="A1861" s="9"/>
    </row>
    <row r="1862" spans="1:1">
      <c r="A1862" s="9"/>
    </row>
    <row r="1863" spans="1:1">
      <c r="A1863" s="9"/>
    </row>
    <row r="1864" spans="1:1">
      <c r="A1864" s="9"/>
    </row>
    <row r="1865" spans="1:1">
      <c r="A1865" s="9"/>
    </row>
    <row r="1866" spans="1:1">
      <c r="A1866" s="9"/>
    </row>
    <row r="1867" spans="1:1">
      <c r="A1867" s="9"/>
    </row>
    <row r="1868" spans="1:1">
      <c r="A1868" s="9"/>
    </row>
    <row r="1869" spans="1:1">
      <c r="A1869" s="9"/>
    </row>
    <row r="1870" spans="1:1">
      <c r="A1870" s="9"/>
    </row>
    <row r="1871" spans="1:1">
      <c r="A1871" s="9"/>
    </row>
    <row r="1872" spans="1:1">
      <c r="A1872" s="9"/>
    </row>
    <row r="1873" spans="1:1">
      <c r="A1873" s="9"/>
    </row>
    <row r="1874" spans="1:1">
      <c r="A1874" s="9"/>
    </row>
    <row r="1875" spans="1:1">
      <c r="A1875" s="9"/>
    </row>
    <row r="1876" spans="1:1">
      <c r="A1876" s="9"/>
    </row>
    <row r="1877" spans="1:1">
      <c r="A1877" s="9"/>
    </row>
    <row r="1878" spans="1:1">
      <c r="A1878" s="9"/>
    </row>
    <row r="1879" spans="1:1">
      <c r="A1879" s="9"/>
    </row>
    <row r="1880" spans="1:1">
      <c r="A1880" s="9"/>
    </row>
    <row r="1881" spans="1:1">
      <c r="A1881" s="9"/>
    </row>
    <row r="1882" spans="1:1">
      <c r="A1882" s="9"/>
    </row>
    <row r="1883" spans="1:1">
      <c r="A1883" s="9"/>
    </row>
    <row r="1884" spans="1:1">
      <c r="A1884" s="9"/>
    </row>
    <row r="1885" spans="1:1">
      <c r="A1885" s="9"/>
    </row>
    <row r="1886" spans="1:1">
      <c r="A1886" s="9"/>
    </row>
    <row r="1887" spans="1:1">
      <c r="A1887" s="9"/>
    </row>
    <row r="1888" spans="1:1">
      <c r="A1888" s="9"/>
    </row>
    <row r="1889" spans="1:1">
      <c r="A1889" s="9"/>
    </row>
    <row r="1890" spans="1:1">
      <c r="A1890" s="9"/>
    </row>
    <row r="1891" spans="1:1">
      <c r="A1891" s="9"/>
    </row>
    <row r="1892" spans="1:1">
      <c r="A1892" s="9"/>
    </row>
    <row r="1893" spans="1:1">
      <c r="A1893" s="9"/>
    </row>
    <row r="1894" spans="1:1">
      <c r="A1894" s="9"/>
    </row>
    <row r="1895" spans="1:1">
      <c r="A1895" s="9"/>
    </row>
    <row r="1896" spans="1:1">
      <c r="A1896" s="9"/>
    </row>
    <row r="1897" spans="1:1">
      <c r="A1897" s="9"/>
    </row>
    <row r="1898" spans="1:1">
      <c r="A1898" s="9"/>
    </row>
    <row r="1899" spans="1:1">
      <c r="A1899" s="9"/>
    </row>
    <row r="1900" spans="1:1">
      <c r="A1900" s="9"/>
    </row>
    <row r="1901" spans="1:1">
      <c r="A1901" s="9"/>
    </row>
    <row r="1902" spans="1:1">
      <c r="A1902" s="9"/>
    </row>
    <row r="1903" spans="1:1">
      <c r="A1903" s="9"/>
    </row>
    <row r="1904" spans="1:1">
      <c r="A1904" s="9"/>
    </row>
    <row r="1905" spans="1:1">
      <c r="A1905" s="9"/>
    </row>
    <row r="1906" spans="1:1">
      <c r="A1906" s="9"/>
    </row>
    <row r="1907" spans="1:1">
      <c r="A1907" s="9"/>
    </row>
    <row r="1908" spans="1:1">
      <c r="A1908" s="9"/>
    </row>
    <row r="1909" spans="1:1">
      <c r="A1909" s="9"/>
    </row>
    <row r="1910" spans="1:1">
      <c r="A1910" s="9"/>
    </row>
    <row r="1911" spans="1:1">
      <c r="A1911" s="9"/>
    </row>
    <row r="1912" spans="1:1">
      <c r="A1912" s="9"/>
    </row>
    <row r="1913" spans="1:1">
      <c r="A1913" s="9"/>
    </row>
    <row r="1914" spans="1:1">
      <c r="A1914" s="9"/>
    </row>
    <row r="1915" spans="1:1">
      <c r="A1915" s="9"/>
    </row>
    <row r="1916" spans="1:1">
      <c r="A1916" s="9"/>
    </row>
    <row r="1917" spans="1:1">
      <c r="A1917" s="9"/>
    </row>
    <row r="1918" spans="1:1">
      <c r="A1918" s="9"/>
    </row>
    <row r="1919" spans="1:1">
      <c r="A1919" s="9"/>
    </row>
    <row r="1920" spans="1:1">
      <c r="A1920" s="9"/>
    </row>
    <row r="1921" spans="1:1">
      <c r="A1921" s="9"/>
    </row>
    <row r="1922" spans="1:1">
      <c r="A1922" s="9"/>
    </row>
    <row r="1923" spans="1:1">
      <c r="A1923" s="9"/>
    </row>
    <row r="1924" spans="1:1">
      <c r="A1924" s="9"/>
    </row>
    <row r="1925" spans="1:1">
      <c r="A1925" s="9"/>
    </row>
    <row r="1926" spans="1:1">
      <c r="A1926" s="9"/>
    </row>
    <row r="1927" spans="1:1">
      <c r="A1927" s="9"/>
    </row>
    <row r="1928" spans="1:1">
      <c r="A1928" s="9"/>
    </row>
    <row r="1929" spans="1:1">
      <c r="A1929" s="9"/>
    </row>
    <row r="1930" spans="1:1">
      <c r="A1930" s="9"/>
    </row>
    <row r="1931" spans="1:1">
      <c r="A1931" s="9"/>
    </row>
    <row r="1932" spans="1:1">
      <c r="A1932" s="9"/>
    </row>
    <row r="1933" spans="1:1">
      <c r="A1933" s="9"/>
    </row>
    <row r="1934" spans="1:1">
      <c r="A1934" s="9"/>
    </row>
    <row r="1935" spans="1:1">
      <c r="A1935" s="9"/>
    </row>
    <row r="1936" spans="1:1">
      <c r="A1936" s="9"/>
    </row>
    <row r="1937" spans="1:1">
      <c r="A1937" s="9"/>
    </row>
    <row r="1938" spans="1:1">
      <c r="A1938" s="9"/>
    </row>
    <row r="1939" spans="1:1">
      <c r="A1939" s="9"/>
    </row>
    <row r="1940" spans="1:1">
      <c r="A1940" s="9"/>
    </row>
    <row r="1941" spans="1:1">
      <c r="A1941" s="9"/>
    </row>
    <row r="1942" spans="1:1">
      <c r="A1942" s="9"/>
    </row>
    <row r="1943" spans="1:1">
      <c r="A1943" s="9"/>
    </row>
    <row r="1944" spans="1:1">
      <c r="A1944" s="9"/>
    </row>
    <row r="1945" spans="1:1">
      <c r="A1945" s="9"/>
    </row>
    <row r="1946" spans="1:1">
      <c r="A1946" s="9"/>
    </row>
    <row r="1947" spans="1:1">
      <c r="A1947" s="9"/>
    </row>
    <row r="1948" spans="1:1">
      <c r="A1948" s="9"/>
    </row>
    <row r="1949" spans="1:1">
      <c r="A1949" s="9"/>
    </row>
    <row r="1950" spans="1:1">
      <c r="A1950" s="9"/>
    </row>
    <row r="1951" spans="1:1">
      <c r="A1951" s="9"/>
    </row>
    <row r="1952" spans="1:1">
      <c r="A1952" s="9"/>
    </row>
    <row r="1953" spans="1:1">
      <c r="A1953" s="9"/>
    </row>
    <row r="1954" spans="1:1">
      <c r="A1954" s="9"/>
    </row>
    <row r="1955" spans="1:1">
      <c r="A1955" s="9"/>
    </row>
    <row r="1956" spans="1:1">
      <c r="A1956" s="9"/>
    </row>
    <row r="1957" spans="1:1">
      <c r="A1957" s="9"/>
    </row>
    <row r="1958" spans="1:1">
      <c r="A1958" s="9"/>
    </row>
    <row r="1959" spans="1:1">
      <c r="A1959" s="9"/>
    </row>
    <row r="1960" spans="1:1">
      <c r="A1960" s="9"/>
    </row>
    <row r="1961" spans="1:1">
      <c r="A1961" s="9"/>
    </row>
    <row r="1962" spans="1:1">
      <c r="A1962" s="9"/>
    </row>
    <row r="1963" spans="1:1">
      <c r="A1963" s="9"/>
    </row>
    <row r="1964" spans="1:1">
      <c r="A1964" s="9"/>
    </row>
    <row r="1965" spans="1:1">
      <c r="A1965" s="9"/>
    </row>
    <row r="1966" spans="1:1">
      <c r="A1966" s="9"/>
    </row>
    <row r="1967" spans="1:1">
      <c r="A1967" s="9"/>
    </row>
    <row r="1968" spans="1:1">
      <c r="A1968" s="9"/>
    </row>
    <row r="1969" spans="1:1">
      <c r="A1969" s="9"/>
    </row>
    <row r="1970" spans="1:1">
      <c r="A1970" s="9"/>
    </row>
    <row r="1971" spans="1:1">
      <c r="A1971" s="9"/>
    </row>
    <row r="1972" spans="1:1">
      <c r="A1972" s="9"/>
    </row>
    <row r="1973" spans="1:1">
      <c r="A1973" s="9"/>
    </row>
    <row r="1974" spans="1:1">
      <c r="A1974" s="9"/>
    </row>
    <row r="1975" spans="1:1">
      <c r="A1975" s="9"/>
    </row>
    <row r="1976" spans="1:1">
      <c r="A1976" s="9"/>
    </row>
    <row r="1977" spans="1:1">
      <c r="A1977" s="9"/>
    </row>
    <row r="1978" spans="1:1">
      <c r="A1978" s="9"/>
    </row>
    <row r="1979" spans="1:1">
      <c r="A1979" s="9"/>
    </row>
    <row r="1980" spans="1:1">
      <c r="A1980" s="9"/>
    </row>
    <row r="1981" spans="1:1">
      <c r="A1981" s="9"/>
    </row>
    <row r="1982" spans="1:1">
      <c r="A1982" s="9"/>
    </row>
    <row r="1983" spans="1:1">
      <c r="A1983" s="9"/>
    </row>
    <row r="1984" spans="1:1">
      <c r="A1984" s="9"/>
    </row>
    <row r="1985" spans="1:1">
      <c r="A1985" s="9"/>
    </row>
    <row r="1986" spans="1:1">
      <c r="A1986" s="9"/>
    </row>
    <row r="1987" spans="1:1">
      <c r="A1987" s="9"/>
    </row>
    <row r="1988" spans="1:1">
      <c r="A1988" s="9"/>
    </row>
    <row r="1989" spans="1:1">
      <c r="A1989" s="9"/>
    </row>
    <row r="1990" spans="1:1">
      <c r="A1990" s="9"/>
    </row>
    <row r="1991" spans="1:1">
      <c r="A1991" s="9"/>
    </row>
    <row r="1992" spans="1:1">
      <c r="A1992" s="9"/>
    </row>
    <row r="1993" spans="1:1">
      <c r="A1993" s="9"/>
    </row>
    <row r="1994" spans="1:1">
      <c r="A1994" s="9"/>
    </row>
    <row r="1995" spans="1:1">
      <c r="A1995" s="9"/>
    </row>
    <row r="1996" spans="1:1">
      <c r="A1996" s="9"/>
    </row>
    <row r="1997" spans="1:1">
      <c r="A1997" s="9"/>
    </row>
    <row r="1998" spans="1:1">
      <c r="A1998" s="9"/>
    </row>
    <row r="1999" spans="1:1">
      <c r="A1999" s="9"/>
    </row>
    <row r="2000" spans="1:1">
      <c r="A2000" s="9"/>
    </row>
    <row r="2001" spans="1:1">
      <c r="A2001" s="9"/>
    </row>
    <row r="2002" spans="1:1">
      <c r="A2002" s="9"/>
    </row>
    <row r="2003" spans="1:1">
      <c r="A2003" s="9"/>
    </row>
    <row r="2004" spans="1:1">
      <c r="A2004" s="9"/>
    </row>
    <row r="2005" spans="1:1">
      <c r="A2005" s="9"/>
    </row>
    <row r="2006" spans="1:1">
      <c r="A2006" s="9"/>
    </row>
    <row r="2007" spans="1:1">
      <c r="A2007" s="9"/>
    </row>
    <row r="2008" spans="1:1">
      <c r="A2008" s="9"/>
    </row>
    <row r="2009" spans="1:1">
      <c r="A2009" s="9"/>
    </row>
    <row r="2010" spans="1:1">
      <c r="A2010" s="9"/>
    </row>
    <row r="2011" spans="1:1">
      <c r="A2011" s="9"/>
    </row>
    <row r="2012" spans="1:1">
      <c r="A2012" s="9"/>
    </row>
    <row r="2013" spans="1:1">
      <c r="A2013" s="9"/>
    </row>
    <row r="2014" spans="1:1">
      <c r="A2014" s="9"/>
    </row>
    <row r="2015" spans="1:1">
      <c r="A2015" s="9"/>
    </row>
    <row r="2016" spans="1:1">
      <c r="A2016" s="9"/>
    </row>
    <row r="2017" spans="1:1">
      <c r="A2017" s="9"/>
    </row>
    <row r="2018" spans="1:1">
      <c r="A2018" s="9"/>
    </row>
    <row r="2019" spans="1:1">
      <c r="A2019" s="9"/>
    </row>
    <row r="2020" spans="1:1">
      <c r="A2020" s="9"/>
    </row>
    <row r="2021" spans="1:1">
      <c r="A2021" s="9"/>
    </row>
    <row r="2022" spans="1:1">
      <c r="A2022" s="9"/>
    </row>
    <row r="2023" spans="1:1">
      <c r="A2023" s="9"/>
    </row>
    <row r="2024" spans="1:1">
      <c r="A2024" s="9"/>
    </row>
    <row r="2025" spans="1:1">
      <c r="A2025" s="9"/>
    </row>
    <row r="2026" spans="1:1">
      <c r="A2026" s="9"/>
    </row>
    <row r="2027" spans="1:1">
      <c r="A2027" s="9"/>
    </row>
    <row r="2028" spans="1:1">
      <c r="A2028" s="9"/>
    </row>
    <row r="2029" spans="1:1">
      <c r="A2029" s="9"/>
    </row>
    <row r="2030" spans="1:1">
      <c r="A2030" s="9"/>
    </row>
    <row r="2031" spans="1:1">
      <c r="A2031" s="9"/>
    </row>
    <row r="2032" spans="1:1">
      <c r="A2032" s="9"/>
    </row>
    <row r="2033" spans="1:1">
      <c r="A2033" s="9"/>
    </row>
    <row r="2034" spans="1:1">
      <c r="A2034" s="9"/>
    </row>
    <row r="2035" spans="1:1">
      <c r="A2035" s="9"/>
    </row>
    <row r="2036" spans="1:1">
      <c r="A2036" s="9"/>
    </row>
    <row r="2037" spans="1:1">
      <c r="A2037" s="9"/>
    </row>
    <row r="2038" spans="1:1">
      <c r="A2038" s="9"/>
    </row>
    <row r="2039" spans="1:1">
      <c r="A2039" s="9"/>
    </row>
    <row r="2040" spans="1:1">
      <c r="A2040" s="9"/>
    </row>
    <row r="2041" spans="1:1">
      <c r="A2041" s="9"/>
    </row>
    <row r="2042" spans="1:1">
      <c r="A2042" s="9"/>
    </row>
    <row r="2043" spans="1:1">
      <c r="A2043" s="9"/>
    </row>
    <row r="2044" spans="1:1">
      <c r="A2044" s="9"/>
    </row>
    <row r="2045" spans="1:1">
      <c r="A2045" s="9"/>
    </row>
    <row r="2046" spans="1:1">
      <c r="A2046" s="9"/>
    </row>
    <row r="2047" spans="1:1">
      <c r="A2047" s="9"/>
    </row>
    <row r="2048" spans="1:1">
      <c r="A2048" s="9"/>
    </row>
    <row r="2049" spans="1:1">
      <c r="A2049" s="9"/>
    </row>
    <row r="2050" spans="1:1">
      <c r="A2050" s="9"/>
    </row>
    <row r="2051" spans="1:1">
      <c r="A2051" s="9"/>
    </row>
    <row r="2052" spans="1:1">
      <c r="A2052" s="9"/>
    </row>
    <row r="2053" spans="1:1">
      <c r="A2053" s="9"/>
    </row>
    <row r="2054" spans="1:1">
      <c r="A2054" s="9"/>
    </row>
    <row r="2055" spans="1:1">
      <c r="A2055" s="9"/>
    </row>
    <row r="2056" spans="1:1">
      <c r="A2056" s="9"/>
    </row>
    <row r="2057" spans="1:1">
      <c r="A2057" s="9"/>
    </row>
    <row r="2058" spans="1:1">
      <c r="A2058" s="9"/>
    </row>
    <row r="2059" spans="1:1">
      <c r="A2059" s="9"/>
    </row>
    <row r="2060" spans="1:1">
      <c r="A2060" s="9"/>
    </row>
    <row r="2061" spans="1:1">
      <c r="A2061" s="9"/>
    </row>
    <row r="2062" spans="1:1">
      <c r="A2062" s="9"/>
    </row>
    <row r="2063" spans="1:1">
      <c r="A2063" s="9"/>
    </row>
    <row r="2064" spans="1:1">
      <c r="A2064" s="9"/>
    </row>
    <row r="2065" spans="1:1">
      <c r="A2065" s="9"/>
    </row>
    <row r="2066" spans="1:1">
      <c r="A2066" s="9"/>
    </row>
    <row r="2067" spans="1:1">
      <c r="A2067" s="9"/>
    </row>
    <row r="2068" spans="1:1">
      <c r="A2068" s="9"/>
    </row>
    <row r="2069" spans="1:1">
      <c r="A2069" s="9"/>
    </row>
    <row r="2070" spans="1:1">
      <c r="A2070" s="9"/>
    </row>
    <row r="2071" spans="1:1">
      <c r="A2071" s="9"/>
    </row>
    <row r="2072" spans="1:1">
      <c r="A2072" s="9"/>
    </row>
    <row r="2073" spans="1:1">
      <c r="A2073" s="9"/>
    </row>
    <row r="2074" spans="1:1">
      <c r="A2074" s="9"/>
    </row>
    <row r="2075" spans="1:1">
      <c r="A2075" s="9"/>
    </row>
    <row r="2076" spans="1:1">
      <c r="A2076" s="9"/>
    </row>
    <row r="2077" spans="1:1">
      <c r="A2077" s="9"/>
    </row>
    <row r="2078" spans="1:1">
      <c r="A2078" s="9"/>
    </row>
    <row r="2079" spans="1:1">
      <c r="A2079" s="9"/>
    </row>
    <row r="2080" spans="1:1">
      <c r="A2080" s="9"/>
    </row>
    <row r="2081" spans="1:1">
      <c r="A2081" s="9"/>
    </row>
    <row r="2082" spans="1:1">
      <c r="A2082" s="9"/>
    </row>
    <row r="2083" spans="1:1">
      <c r="A2083" s="9"/>
    </row>
    <row r="2084" spans="1:1">
      <c r="A2084" s="9"/>
    </row>
    <row r="2085" spans="1:1">
      <c r="A2085" s="9"/>
    </row>
    <row r="2086" spans="1:1">
      <c r="A2086" s="9"/>
    </row>
    <row r="2087" spans="1:1">
      <c r="A2087" s="9"/>
    </row>
    <row r="2088" spans="1:1">
      <c r="A2088" s="9"/>
    </row>
    <row r="2089" spans="1:1">
      <c r="A2089" s="9"/>
    </row>
    <row r="2090" spans="1:1">
      <c r="A2090" s="9"/>
    </row>
    <row r="2091" spans="1:1">
      <c r="A2091" s="9"/>
    </row>
    <row r="2092" spans="1:1">
      <c r="A2092" s="9"/>
    </row>
    <row r="2093" spans="1:1">
      <c r="A2093" s="9"/>
    </row>
    <row r="2094" spans="1:1">
      <c r="A2094" s="9"/>
    </row>
    <row r="2095" spans="1:1">
      <c r="A2095" s="9"/>
    </row>
    <row r="2096" spans="1:1">
      <c r="A2096" s="9"/>
    </row>
    <row r="2097" spans="1:1">
      <c r="A2097" s="9"/>
    </row>
    <row r="2098" spans="1:1">
      <c r="A2098" s="9"/>
    </row>
    <row r="2099" spans="1:1">
      <c r="A2099" s="9"/>
    </row>
    <row r="2100" spans="1:1">
      <c r="A2100" s="9"/>
    </row>
    <row r="2101" spans="1:1">
      <c r="A2101" s="9"/>
    </row>
    <row r="2102" spans="1:1">
      <c r="A2102" s="9"/>
    </row>
    <row r="2103" spans="1:1">
      <c r="A2103" s="9"/>
    </row>
    <row r="2104" spans="1:1">
      <c r="A2104" s="9"/>
    </row>
    <row r="2105" spans="1:1">
      <c r="A2105" s="9"/>
    </row>
    <row r="2106" spans="1:1">
      <c r="A2106" s="9"/>
    </row>
    <row r="2107" spans="1:1">
      <c r="A2107" s="9"/>
    </row>
    <row r="2108" spans="1:1">
      <c r="A2108" s="9"/>
    </row>
    <row r="2109" spans="1:1">
      <c r="A2109" s="9"/>
    </row>
    <row r="2110" spans="1:1">
      <c r="A2110" s="9"/>
    </row>
    <row r="2111" spans="1:1">
      <c r="A2111" s="9"/>
    </row>
    <row r="2112" spans="1:1">
      <c r="A2112" s="9"/>
    </row>
    <row r="2113" spans="1:1">
      <c r="A2113" s="9"/>
    </row>
    <row r="2114" spans="1:1">
      <c r="A2114" s="9"/>
    </row>
    <row r="2115" spans="1:1">
      <c r="A2115" s="9"/>
    </row>
    <row r="2116" spans="1:1">
      <c r="A2116" s="9"/>
    </row>
    <row r="2117" spans="1:1">
      <c r="A2117" s="9"/>
    </row>
    <row r="2118" spans="1:1">
      <c r="A2118" s="9"/>
    </row>
    <row r="2119" spans="1:1">
      <c r="A2119" s="9"/>
    </row>
    <row r="2120" spans="1:1">
      <c r="A2120" s="9"/>
    </row>
    <row r="2121" spans="1:1">
      <c r="A2121" s="9"/>
    </row>
    <row r="2122" spans="1:1">
      <c r="A2122" s="9"/>
    </row>
    <row r="2123" spans="1:1">
      <c r="A2123" s="9"/>
    </row>
    <row r="2124" spans="1:1">
      <c r="A2124" s="9"/>
    </row>
    <row r="2125" spans="1:1">
      <c r="A2125" s="9"/>
    </row>
    <row r="2126" spans="1:1">
      <c r="A2126" s="9"/>
    </row>
    <row r="2127" spans="1:1">
      <c r="A2127" s="9"/>
    </row>
    <row r="2128" spans="1:1">
      <c r="A2128" s="9"/>
    </row>
    <row r="2129" spans="1:1">
      <c r="A2129" s="9"/>
    </row>
    <row r="2130" spans="1:1">
      <c r="A2130" s="9"/>
    </row>
    <row r="2131" spans="1:1">
      <c r="A2131" s="9"/>
    </row>
    <row r="2132" spans="1:1">
      <c r="A2132" s="9"/>
    </row>
    <row r="2133" spans="1:1">
      <c r="A2133" s="9"/>
    </row>
    <row r="2134" spans="1:1">
      <c r="A2134" s="9"/>
    </row>
    <row r="2135" spans="1:1">
      <c r="A2135" s="9"/>
    </row>
    <row r="2136" spans="1:1">
      <c r="A2136" s="9"/>
    </row>
    <row r="2137" spans="1:1">
      <c r="A2137" s="9"/>
    </row>
    <row r="2138" spans="1:1">
      <c r="A2138" s="9"/>
    </row>
    <row r="2139" spans="1:1">
      <c r="A2139" s="9"/>
    </row>
    <row r="2140" spans="1:1">
      <c r="A2140" s="9"/>
    </row>
    <row r="2141" spans="1:1">
      <c r="A2141" s="9"/>
    </row>
    <row r="2142" spans="1:1">
      <c r="A2142" s="9"/>
    </row>
    <row r="2143" spans="1:1">
      <c r="A2143" s="9"/>
    </row>
    <row r="2144" spans="1:1">
      <c r="A2144" s="9"/>
    </row>
    <row r="2145" spans="1:1">
      <c r="A2145" s="9"/>
    </row>
    <row r="2146" spans="1:1">
      <c r="A2146" s="9"/>
    </row>
    <row r="2147" spans="1:1">
      <c r="A2147" s="9"/>
    </row>
    <row r="2148" spans="1:1">
      <c r="A2148" s="9"/>
    </row>
    <row r="2149" spans="1:1">
      <c r="A2149" s="9"/>
    </row>
    <row r="2150" spans="1:1">
      <c r="A2150" s="9"/>
    </row>
    <row r="2151" spans="1:1">
      <c r="A2151" s="9"/>
    </row>
    <row r="2152" spans="1:1">
      <c r="A2152" s="9"/>
    </row>
    <row r="2153" spans="1:1">
      <c r="A2153" s="9"/>
    </row>
    <row r="2154" spans="1:1">
      <c r="A2154" s="9"/>
    </row>
    <row r="2155" spans="1:1">
      <c r="A2155" s="9"/>
    </row>
    <row r="2156" spans="1:1">
      <c r="A2156" s="9"/>
    </row>
    <row r="2157" spans="1:1">
      <c r="A2157" s="9"/>
    </row>
    <row r="2158" spans="1:1">
      <c r="A2158" s="9"/>
    </row>
    <row r="2159" spans="1:1">
      <c r="A2159" s="9"/>
    </row>
    <row r="2160" spans="1:1">
      <c r="A2160" s="9"/>
    </row>
    <row r="2161" spans="1:1">
      <c r="A2161" s="9"/>
    </row>
    <row r="2162" spans="1:1">
      <c r="A2162" s="9"/>
    </row>
    <row r="2163" spans="1:1">
      <c r="A2163" s="9"/>
    </row>
    <row r="2164" spans="1:1">
      <c r="A2164" s="9"/>
    </row>
    <row r="2165" spans="1:1">
      <c r="A2165" s="9"/>
    </row>
    <row r="2166" spans="1:1">
      <c r="A2166" s="9"/>
    </row>
    <row r="2167" spans="1:1">
      <c r="A2167" s="9"/>
    </row>
    <row r="2168" spans="1:1">
      <c r="A2168" s="9"/>
    </row>
    <row r="2169" spans="1:1">
      <c r="A2169" s="9"/>
    </row>
    <row r="2170" spans="1:1">
      <c r="A2170" s="9"/>
    </row>
    <row r="2171" spans="1:1">
      <c r="A2171" s="9"/>
    </row>
    <row r="2172" spans="1:1">
      <c r="A2172" s="9"/>
    </row>
    <row r="2173" spans="1:1">
      <c r="A2173" s="9"/>
    </row>
    <row r="2174" spans="1:1">
      <c r="A2174" s="9"/>
    </row>
    <row r="2175" spans="1:1">
      <c r="A2175" s="9"/>
    </row>
    <row r="2176" spans="1:1">
      <c r="A2176" s="9"/>
    </row>
    <row r="2177" spans="1:1">
      <c r="A2177" s="9"/>
    </row>
    <row r="2178" spans="1:1">
      <c r="A2178" s="9"/>
    </row>
    <row r="2179" spans="1:1">
      <c r="A2179" s="9"/>
    </row>
    <row r="2180" spans="1:1">
      <c r="A2180" s="9"/>
    </row>
    <row r="2181" spans="1:1">
      <c r="A2181" s="9"/>
    </row>
    <row r="2182" spans="1:1">
      <c r="A2182" s="9"/>
    </row>
    <row r="2183" spans="1:1">
      <c r="A2183" s="9"/>
    </row>
    <row r="2184" spans="1:1">
      <c r="A2184" s="9"/>
    </row>
    <row r="2185" spans="1:1">
      <c r="A2185" s="9"/>
    </row>
    <row r="2186" spans="1:1">
      <c r="A2186" s="9"/>
    </row>
    <row r="2187" spans="1:1">
      <c r="A2187" s="9"/>
    </row>
    <row r="2188" spans="1:1">
      <c r="A2188" s="9"/>
    </row>
    <row r="2189" spans="1:1">
      <c r="A2189" s="9"/>
    </row>
    <row r="2190" spans="1:1">
      <c r="A2190" s="9"/>
    </row>
    <row r="2191" spans="1:1">
      <c r="A2191" s="9"/>
    </row>
    <row r="2192" spans="1:1">
      <c r="A2192" s="9"/>
    </row>
    <row r="2193" spans="1:1">
      <c r="A2193" s="9"/>
    </row>
    <row r="2194" spans="1:1">
      <c r="A2194" s="9"/>
    </row>
    <row r="2195" spans="1:1">
      <c r="A2195" s="9"/>
    </row>
    <row r="2196" spans="1:1">
      <c r="A2196" s="9"/>
    </row>
    <row r="2197" spans="1:1">
      <c r="A2197" s="9"/>
    </row>
    <row r="2198" spans="1:1">
      <c r="A2198" s="9"/>
    </row>
    <row r="2199" spans="1:1">
      <c r="A2199" s="9"/>
    </row>
    <row r="2200" spans="1:1">
      <c r="A2200" s="9"/>
    </row>
    <row r="2201" spans="1:1">
      <c r="A2201" s="9"/>
    </row>
    <row r="2202" spans="1:1">
      <c r="A2202" s="9"/>
    </row>
    <row r="2203" spans="1:1">
      <c r="A2203" s="9"/>
    </row>
    <row r="2204" spans="1:1">
      <c r="A2204" s="9"/>
    </row>
    <row r="2205" spans="1:1">
      <c r="A2205" s="9"/>
    </row>
    <row r="2206" spans="1:1">
      <c r="A2206" s="9"/>
    </row>
    <row r="2207" spans="1:1">
      <c r="A2207" s="9"/>
    </row>
    <row r="2208" spans="1:1">
      <c r="A2208" s="9"/>
    </row>
    <row r="2209" spans="1:1">
      <c r="A2209" s="9"/>
    </row>
    <row r="2210" spans="1:1">
      <c r="A2210" s="9"/>
    </row>
    <row r="2211" spans="1:1">
      <c r="A2211" s="9"/>
    </row>
    <row r="2212" spans="1:1">
      <c r="A2212" s="9"/>
    </row>
    <row r="2213" spans="1:1">
      <c r="A2213" s="9"/>
    </row>
    <row r="2214" spans="1:1">
      <c r="A2214" s="9"/>
    </row>
    <row r="2215" spans="1:1">
      <c r="A2215" s="9"/>
    </row>
    <row r="2216" spans="1:1">
      <c r="A2216" s="9"/>
    </row>
    <row r="2217" spans="1:1">
      <c r="A2217" s="9"/>
    </row>
    <row r="2218" spans="1:1">
      <c r="A2218" s="9"/>
    </row>
    <row r="2219" spans="1:1">
      <c r="A2219" s="9"/>
    </row>
    <row r="2220" spans="1:1">
      <c r="A2220" s="9"/>
    </row>
    <row r="2221" spans="1:1">
      <c r="A2221" s="9"/>
    </row>
    <row r="2222" spans="1:1">
      <c r="A2222" s="9"/>
    </row>
    <row r="2223" spans="1:1">
      <c r="A2223" s="9"/>
    </row>
    <row r="2224" spans="1:1">
      <c r="A2224" s="9"/>
    </row>
    <row r="2225" spans="1:1">
      <c r="A2225" s="9"/>
    </row>
    <row r="2226" spans="1:1">
      <c r="A2226" s="9"/>
    </row>
    <row r="2227" spans="1:1">
      <c r="A2227" s="9"/>
    </row>
    <row r="2228" spans="1:1">
      <c r="A2228" s="9"/>
    </row>
    <row r="2229" spans="1:1">
      <c r="A2229" s="9"/>
    </row>
    <row r="2230" spans="1:1">
      <c r="A2230" s="9"/>
    </row>
    <row r="2231" spans="1:1">
      <c r="A2231" s="9"/>
    </row>
    <row r="2232" spans="1:1">
      <c r="A2232" s="9"/>
    </row>
    <row r="2233" spans="1:1">
      <c r="A2233" s="9"/>
    </row>
    <row r="2234" spans="1:1">
      <c r="A2234" s="9"/>
    </row>
    <row r="2235" spans="1:1">
      <c r="A2235" s="9"/>
    </row>
    <row r="2236" spans="1:1">
      <c r="A2236" s="9"/>
    </row>
    <row r="2237" spans="1:1">
      <c r="A2237" s="9"/>
    </row>
    <row r="2238" spans="1:1">
      <c r="A2238" s="9"/>
    </row>
    <row r="2239" spans="1:1">
      <c r="A2239" s="9"/>
    </row>
    <row r="2240" spans="1:1">
      <c r="A2240" s="9"/>
    </row>
    <row r="2241" spans="1:1">
      <c r="A2241" s="9"/>
    </row>
    <row r="2242" spans="1:1">
      <c r="A2242" s="9"/>
    </row>
    <row r="2243" spans="1:1">
      <c r="A2243" s="9"/>
    </row>
    <row r="2244" spans="1:1">
      <c r="A2244" s="9"/>
    </row>
    <row r="2245" spans="1:1">
      <c r="A2245" s="9"/>
    </row>
    <row r="2246" spans="1:1">
      <c r="A2246" s="9"/>
    </row>
    <row r="2247" spans="1:1">
      <c r="A2247" s="9"/>
    </row>
    <row r="2248" spans="1:1">
      <c r="A2248" s="9"/>
    </row>
    <row r="2249" spans="1:1">
      <c r="A2249" s="9"/>
    </row>
    <row r="2250" spans="1:1">
      <c r="A2250" s="9"/>
    </row>
    <row r="2251" spans="1:1">
      <c r="A2251" s="9"/>
    </row>
    <row r="2252" spans="1:1">
      <c r="A2252" s="9"/>
    </row>
    <row r="2253" spans="1:1">
      <c r="A2253" s="9"/>
    </row>
    <row r="2254" spans="1:1">
      <c r="A2254" s="9"/>
    </row>
    <row r="2255" spans="1:1">
      <c r="A2255" s="9"/>
    </row>
    <row r="2256" spans="1:1">
      <c r="A2256" s="9"/>
    </row>
    <row r="2257" spans="1:1">
      <c r="A2257" s="9"/>
    </row>
    <row r="2258" spans="1:1">
      <c r="A2258" s="9"/>
    </row>
    <row r="2259" spans="1:1">
      <c r="A2259" s="9"/>
    </row>
    <row r="2260" spans="1:1">
      <c r="A2260" s="9"/>
    </row>
    <row r="2261" spans="1:1">
      <c r="A2261" s="9"/>
    </row>
    <row r="2262" spans="1:1">
      <c r="A2262" s="9"/>
    </row>
    <row r="2263" spans="1:1">
      <c r="A2263" s="9"/>
    </row>
    <row r="2264" spans="1:1">
      <c r="A2264" s="9"/>
    </row>
    <row r="2265" spans="1:1">
      <c r="A2265" s="9"/>
    </row>
    <row r="2266" spans="1:1">
      <c r="A2266" s="9"/>
    </row>
    <row r="2267" spans="1:1">
      <c r="A2267" s="9"/>
    </row>
    <row r="2268" spans="1:1">
      <c r="A2268" s="9"/>
    </row>
    <row r="2269" spans="1:1">
      <c r="A2269" s="9"/>
    </row>
    <row r="2270" spans="1:1">
      <c r="A2270" s="9"/>
    </row>
    <row r="2271" spans="1:1">
      <c r="A2271" s="9"/>
    </row>
    <row r="2272" spans="1:1">
      <c r="A2272" s="9"/>
    </row>
    <row r="2273" spans="1:1">
      <c r="A2273" s="9"/>
    </row>
    <row r="2274" spans="1:1">
      <c r="A2274" s="9"/>
    </row>
    <row r="2275" spans="1:1">
      <c r="A2275" s="9"/>
    </row>
    <row r="2276" spans="1:1">
      <c r="A2276" s="9"/>
    </row>
    <row r="2277" spans="1:1">
      <c r="A2277" s="9"/>
    </row>
    <row r="2278" spans="1:1">
      <c r="A2278" s="9"/>
    </row>
    <row r="2279" spans="1:1">
      <c r="A2279" s="9"/>
    </row>
    <row r="2280" spans="1:1">
      <c r="A2280" s="9"/>
    </row>
    <row r="2281" spans="1:1">
      <c r="A2281" s="9"/>
    </row>
    <row r="2282" spans="1:1">
      <c r="A2282" s="9"/>
    </row>
    <row r="2283" spans="1:1">
      <c r="A2283" s="9"/>
    </row>
    <row r="2284" spans="1:1">
      <c r="A2284" s="9"/>
    </row>
    <row r="2285" spans="1:1">
      <c r="A2285" s="9"/>
    </row>
    <row r="2286" spans="1:1">
      <c r="A2286" s="9"/>
    </row>
    <row r="2287" spans="1:1">
      <c r="A2287" s="9"/>
    </row>
    <row r="2288" spans="1:1">
      <c r="A2288" s="9"/>
    </row>
    <row r="2289" spans="1:1">
      <c r="A2289" s="9"/>
    </row>
    <row r="2290" spans="1:1">
      <c r="A2290" s="9"/>
    </row>
    <row r="2291" spans="1:1">
      <c r="A2291" s="9"/>
    </row>
    <row r="2292" spans="1:1">
      <c r="A2292" s="9"/>
    </row>
    <row r="2293" spans="1:1">
      <c r="A2293" s="9"/>
    </row>
    <row r="2294" spans="1:1">
      <c r="A2294" s="9"/>
    </row>
    <row r="2295" spans="1:1">
      <c r="A2295" s="9"/>
    </row>
    <row r="2296" spans="1:1">
      <c r="A2296" s="9"/>
    </row>
    <row r="2297" spans="1:1">
      <c r="A2297" s="9"/>
    </row>
    <row r="2298" spans="1:1">
      <c r="A2298" s="9"/>
    </row>
    <row r="2299" spans="1:1">
      <c r="A2299" s="9"/>
    </row>
    <row r="2300" spans="1:1">
      <c r="A2300" s="9"/>
    </row>
    <row r="2301" spans="1:1">
      <c r="A2301" s="9"/>
    </row>
    <row r="2302" spans="1:1">
      <c r="A2302" s="9"/>
    </row>
    <row r="2303" spans="1:1">
      <c r="A2303" s="9"/>
    </row>
    <row r="2304" spans="1:1">
      <c r="A2304" s="9"/>
    </row>
    <row r="2305" spans="1:1">
      <c r="A2305" s="9"/>
    </row>
    <row r="2306" spans="1:1">
      <c r="A2306" s="9"/>
    </row>
    <row r="2307" spans="1:1">
      <c r="A2307" s="9"/>
    </row>
    <row r="2308" spans="1:1">
      <c r="A2308" s="9"/>
    </row>
    <row r="2309" spans="1:1">
      <c r="A2309" s="9"/>
    </row>
    <row r="2310" spans="1:1">
      <c r="A2310" s="9"/>
    </row>
    <row r="2311" spans="1:1">
      <c r="A2311" s="9"/>
    </row>
    <row r="2312" spans="1:1">
      <c r="A2312" s="9"/>
    </row>
    <row r="2313" spans="1:1">
      <c r="A2313" s="9"/>
    </row>
    <row r="2314" spans="1:1">
      <c r="A2314" s="9"/>
    </row>
    <row r="2315" spans="1:1">
      <c r="A2315" s="9"/>
    </row>
    <row r="2316" spans="1:1">
      <c r="A2316" s="9"/>
    </row>
    <row r="2317" spans="1:1">
      <c r="A2317" s="9"/>
    </row>
    <row r="2318" spans="1:1">
      <c r="A2318" s="9"/>
    </row>
    <row r="2319" spans="1:1">
      <c r="A2319" s="9"/>
    </row>
    <row r="2320" spans="1:1">
      <c r="A2320" s="9"/>
    </row>
    <row r="2321" spans="1:1">
      <c r="A2321" s="9"/>
    </row>
    <row r="2322" spans="1:1">
      <c r="A2322" s="9"/>
    </row>
    <row r="2323" spans="1:1">
      <c r="A2323" s="9"/>
    </row>
    <row r="2324" spans="1:1">
      <c r="A2324" s="9"/>
    </row>
    <row r="2325" spans="1:1">
      <c r="A2325" s="9"/>
    </row>
    <row r="2326" spans="1:1">
      <c r="A2326" s="9"/>
    </row>
    <row r="2327" spans="1:1">
      <c r="A2327" s="9"/>
    </row>
    <row r="2328" spans="1:1">
      <c r="A2328" s="9"/>
    </row>
    <row r="2329" spans="1:1">
      <c r="A2329" s="9"/>
    </row>
    <row r="2330" spans="1:1">
      <c r="A2330" s="9"/>
    </row>
    <row r="2331" spans="1:1">
      <c r="A2331" s="9"/>
    </row>
    <row r="2332" spans="1:1">
      <c r="A2332" s="9"/>
    </row>
    <row r="2333" spans="1:1">
      <c r="A2333" s="9"/>
    </row>
    <row r="2334" spans="1:1">
      <c r="A2334" s="9"/>
    </row>
    <row r="2335" spans="1:1">
      <c r="A2335" s="9"/>
    </row>
    <row r="2336" spans="1:1">
      <c r="A2336" s="9"/>
    </row>
    <row r="2337" spans="1:1">
      <c r="A2337" s="9"/>
    </row>
    <row r="2338" spans="1:1">
      <c r="A2338" s="9"/>
    </row>
    <row r="2339" spans="1:1">
      <c r="A2339" s="9"/>
    </row>
    <row r="2340" spans="1:1">
      <c r="A2340" s="9"/>
    </row>
    <row r="2341" spans="1:1">
      <c r="A2341" s="9"/>
    </row>
    <row r="2342" spans="1:1">
      <c r="A2342" s="9"/>
    </row>
    <row r="2343" spans="1:1">
      <c r="A2343" s="9"/>
    </row>
    <row r="2344" spans="1:1">
      <c r="A2344" s="9"/>
    </row>
    <row r="2345" spans="1:1">
      <c r="A2345" s="9"/>
    </row>
    <row r="2346" spans="1:1">
      <c r="A2346" s="9"/>
    </row>
    <row r="2347" spans="1:1">
      <c r="A2347" s="9"/>
    </row>
    <row r="2348" spans="1:1">
      <c r="A2348" s="9"/>
    </row>
    <row r="2349" spans="1:1">
      <c r="A2349" s="9"/>
    </row>
    <row r="2350" spans="1:1">
      <c r="A2350" s="9"/>
    </row>
    <row r="2351" spans="1:1">
      <c r="A2351" s="9"/>
    </row>
    <row r="2352" spans="1:1">
      <c r="A2352" s="9"/>
    </row>
    <row r="2353" spans="1:1">
      <c r="A2353" s="9"/>
    </row>
    <row r="2354" spans="1:1">
      <c r="A2354" s="9"/>
    </row>
    <row r="2355" spans="1:1">
      <c r="A2355" s="9"/>
    </row>
    <row r="2356" spans="1:1">
      <c r="A2356" s="9"/>
    </row>
    <row r="2357" spans="1:1">
      <c r="A2357" s="9"/>
    </row>
    <row r="2358" spans="1:1">
      <c r="A2358" s="9"/>
    </row>
    <row r="2359" spans="1:1">
      <c r="A2359" s="9"/>
    </row>
    <row r="2360" spans="1:1">
      <c r="A2360" s="9"/>
    </row>
    <row r="2361" spans="1:1">
      <c r="A2361" s="9"/>
    </row>
    <row r="2362" spans="1:1">
      <c r="A2362" s="9"/>
    </row>
    <row r="2363" spans="1:1">
      <c r="A2363" s="9"/>
    </row>
    <row r="2364" spans="1:1">
      <c r="A2364" s="9"/>
    </row>
    <row r="2365" spans="1:1">
      <c r="A2365" s="9"/>
    </row>
    <row r="2366" spans="1:1">
      <c r="A2366" s="9"/>
    </row>
    <row r="2367" spans="1:1">
      <c r="A2367" s="9"/>
    </row>
    <row r="2368" spans="1:1">
      <c r="A2368" s="9"/>
    </row>
    <row r="2369" spans="1:1">
      <c r="A2369" s="9"/>
    </row>
    <row r="2370" spans="1:1">
      <c r="A2370" s="9"/>
    </row>
    <row r="2371" spans="1:1">
      <c r="A2371" s="9"/>
    </row>
    <row r="2372" spans="1:1">
      <c r="A2372" s="9"/>
    </row>
    <row r="2373" spans="1:1">
      <c r="A2373" s="9"/>
    </row>
    <row r="2374" spans="1:1">
      <c r="A2374" s="9"/>
    </row>
    <row r="2375" spans="1:1">
      <c r="A2375" s="9"/>
    </row>
    <row r="2376" spans="1:1">
      <c r="A2376" s="9"/>
    </row>
    <row r="2377" spans="1:1">
      <c r="A2377" s="9"/>
    </row>
    <row r="2378" spans="1:1">
      <c r="A2378" s="9"/>
    </row>
    <row r="2379" spans="1:1">
      <c r="A2379" s="9"/>
    </row>
    <row r="2380" spans="1:1">
      <c r="A2380" s="9"/>
    </row>
    <row r="2381" spans="1:1">
      <c r="A2381" s="9"/>
    </row>
    <row r="2382" spans="1:1">
      <c r="A2382" s="9"/>
    </row>
    <row r="2383" spans="1:1">
      <c r="A2383" s="9"/>
    </row>
    <row r="2384" spans="1:1">
      <c r="A2384" s="9"/>
    </row>
    <row r="2385" spans="1:1">
      <c r="A2385" s="9"/>
    </row>
    <row r="2386" spans="1:1">
      <c r="A2386" s="9"/>
    </row>
    <row r="2387" spans="1:1">
      <c r="A2387" s="9"/>
    </row>
    <row r="2388" spans="1:1">
      <c r="A2388" s="9"/>
    </row>
    <row r="2389" spans="1:1">
      <c r="A2389" s="9"/>
    </row>
    <row r="2390" spans="1:1">
      <c r="A2390" s="9"/>
    </row>
    <row r="2391" spans="1:1">
      <c r="A2391" s="9"/>
    </row>
    <row r="2392" spans="1:1">
      <c r="A2392" s="9"/>
    </row>
    <row r="2393" spans="1:1">
      <c r="A2393" s="9"/>
    </row>
    <row r="2394" spans="1:1">
      <c r="A2394" s="9"/>
    </row>
    <row r="2395" spans="1:1">
      <c r="A2395" s="9"/>
    </row>
    <row r="2396" spans="1:1">
      <c r="A2396" s="9"/>
    </row>
    <row r="2397" spans="1:1">
      <c r="A2397" s="9"/>
    </row>
    <row r="2398" spans="1:1">
      <c r="A2398" s="9"/>
    </row>
    <row r="2399" spans="1:1">
      <c r="A2399" s="9"/>
    </row>
    <row r="2400" spans="1:1">
      <c r="A2400" s="9"/>
    </row>
    <row r="2401" spans="1:1">
      <c r="A2401" s="9"/>
    </row>
    <row r="2402" spans="1:1">
      <c r="A2402" s="9"/>
    </row>
    <row r="2403" spans="1:1">
      <c r="A2403" s="9"/>
    </row>
    <row r="2404" spans="1:1">
      <c r="A2404" s="9"/>
    </row>
    <row r="2405" spans="1:1">
      <c r="A2405" s="9"/>
    </row>
    <row r="2406" spans="1:1">
      <c r="A2406" s="9"/>
    </row>
    <row r="2407" spans="1:1">
      <c r="A2407" s="9"/>
    </row>
    <row r="2408" spans="1:1">
      <c r="A2408" s="9"/>
    </row>
    <row r="2409" spans="1:1">
      <c r="A2409" s="9"/>
    </row>
    <row r="2410" spans="1:1">
      <c r="A2410" s="9"/>
    </row>
    <row r="2411" spans="1:1">
      <c r="A2411" s="9"/>
    </row>
    <row r="2412" spans="1:1">
      <c r="A2412" s="9"/>
    </row>
    <row r="2413" spans="1:1">
      <c r="A2413" s="9"/>
    </row>
    <row r="2414" spans="1:1">
      <c r="A2414" s="9"/>
    </row>
    <row r="2415" spans="1:1">
      <c r="A2415" s="9"/>
    </row>
    <row r="2416" spans="1:1">
      <c r="A2416" s="9"/>
    </row>
    <row r="2417" spans="1:1">
      <c r="A2417" s="9"/>
    </row>
    <row r="2418" spans="1:1">
      <c r="A2418" s="9"/>
    </row>
    <row r="2419" spans="1:1">
      <c r="A2419" s="9"/>
    </row>
    <row r="2420" spans="1:1">
      <c r="A2420" s="9"/>
    </row>
    <row r="2421" spans="1:1">
      <c r="A2421" s="9"/>
    </row>
    <row r="2422" spans="1:1">
      <c r="A2422" s="9"/>
    </row>
    <row r="2423" spans="1:1">
      <c r="A2423" s="9"/>
    </row>
    <row r="2424" spans="1:1">
      <c r="A2424" s="9"/>
    </row>
    <row r="2425" spans="1:1">
      <c r="A2425" s="9"/>
    </row>
    <row r="2426" spans="1:1">
      <c r="A2426" s="9"/>
    </row>
    <row r="2427" spans="1:1">
      <c r="A2427" s="9"/>
    </row>
    <row r="2428" spans="1:1">
      <c r="A2428" s="9"/>
    </row>
    <row r="2429" spans="1:1">
      <c r="A2429" s="9"/>
    </row>
    <row r="2430" spans="1:1">
      <c r="A2430" s="9"/>
    </row>
    <row r="2431" spans="1:1">
      <c r="A2431" s="9"/>
    </row>
    <row r="2432" spans="1:1">
      <c r="A2432" s="9"/>
    </row>
    <row r="2433" spans="1:1">
      <c r="A2433" s="9"/>
    </row>
    <row r="2434" spans="1:1">
      <c r="A2434" s="9"/>
    </row>
    <row r="2435" spans="1:1">
      <c r="A2435" s="9"/>
    </row>
    <row r="2436" spans="1:1">
      <c r="A2436" s="9"/>
    </row>
    <row r="2437" spans="1:1">
      <c r="A2437" s="9"/>
    </row>
    <row r="2438" spans="1:1">
      <c r="A2438" s="9"/>
    </row>
    <row r="2439" spans="1:1">
      <c r="A2439" s="9"/>
    </row>
    <row r="2440" spans="1:1">
      <c r="A2440" s="9"/>
    </row>
    <row r="2441" spans="1:1">
      <c r="A2441" s="9"/>
    </row>
    <row r="2442" spans="1:1">
      <c r="A2442" s="9"/>
    </row>
    <row r="2443" spans="1:1">
      <c r="A2443" s="9"/>
    </row>
    <row r="2444" spans="1:1">
      <c r="A2444" s="9"/>
    </row>
    <row r="2445" spans="1:1">
      <c r="A2445" s="9"/>
    </row>
    <row r="2446" spans="1:1">
      <c r="A2446" s="9"/>
    </row>
    <row r="2447" spans="1:1">
      <c r="A2447" s="9"/>
    </row>
    <row r="2448" spans="1:1">
      <c r="A2448" s="9"/>
    </row>
    <row r="2449" spans="1:1">
      <c r="A2449" s="9"/>
    </row>
    <row r="2450" spans="1:1">
      <c r="A2450" s="9"/>
    </row>
    <row r="2451" spans="1:1">
      <c r="A2451" s="9"/>
    </row>
    <row r="2452" spans="1:1">
      <c r="A2452" s="9"/>
    </row>
    <row r="2453" spans="1:1">
      <c r="A2453" s="9"/>
    </row>
    <row r="2454" spans="1:1">
      <c r="A2454" s="9"/>
    </row>
    <row r="2455" spans="1:1">
      <c r="A2455" s="9"/>
    </row>
    <row r="2456" spans="1:1">
      <c r="A2456" s="9"/>
    </row>
    <row r="2457" spans="1:1">
      <c r="A2457" s="9"/>
    </row>
    <row r="2458" spans="1:1">
      <c r="A2458" s="9"/>
    </row>
    <row r="2459" spans="1:1">
      <c r="A2459" s="9"/>
    </row>
    <row r="2460" spans="1:1">
      <c r="A2460" s="9"/>
    </row>
    <row r="2461" spans="1:1">
      <c r="A2461" s="9"/>
    </row>
    <row r="2462" spans="1:1">
      <c r="A2462" s="9"/>
    </row>
    <row r="2463" spans="1:1">
      <c r="A2463" s="9"/>
    </row>
    <row r="2464" spans="1:1">
      <c r="A2464" s="9"/>
    </row>
    <row r="2465" spans="1:1">
      <c r="A2465" s="9"/>
    </row>
    <row r="2466" spans="1:1">
      <c r="A2466" s="9"/>
    </row>
    <row r="2467" spans="1:1">
      <c r="A2467" s="9"/>
    </row>
    <row r="2468" spans="1:1">
      <c r="A2468" s="9"/>
    </row>
    <row r="2469" spans="1:1">
      <c r="A2469" s="9"/>
    </row>
    <row r="2470" spans="1:1">
      <c r="A2470" s="9"/>
    </row>
    <row r="2471" spans="1:1">
      <c r="A2471" s="9"/>
    </row>
    <row r="2472" spans="1:1">
      <c r="A2472" s="9"/>
    </row>
    <row r="2473" spans="1:1">
      <c r="A2473" s="9"/>
    </row>
    <row r="2474" spans="1:1">
      <c r="A2474" s="9"/>
    </row>
    <row r="2475" spans="1:1">
      <c r="A2475" s="9"/>
    </row>
    <row r="2476" spans="1:1">
      <c r="A2476" s="9"/>
    </row>
    <row r="2477" spans="1:1">
      <c r="A2477" s="9"/>
    </row>
    <row r="2478" spans="1:1">
      <c r="A2478" s="9"/>
    </row>
    <row r="2479" spans="1:1">
      <c r="A2479" s="9"/>
    </row>
    <row r="2480" spans="1:1">
      <c r="A2480" s="9"/>
    </row>
    <row r="2481" spans="1:1">
      <c r="A2481" s="9"/>
    </row>
    <row r="2482" spans="1:1">
      <c r="A2482" s="9"/>
    </row>
    <row r="2483" spans="1:1">
      <c r="A2483" s="9"/>
    </row>
    <row r="2484" spans="1:1">
      <c r="A2484" s="9"/>
    </row>
    <row r="2485" spans="1:1">
      <c r="A2485" s="9"/>
    </row>
    <row r="2486" spans="1:1">
      <c r="A2486" s="9"/>
    </row>
    <row r="2487" spans="1:1">
      <c r="A2487" s="9"/>
    </row>
    <row r="2488" spans="1:1">
      <c r="A2488" s="9"/>
    </row>
    <row r="2489" spans="1:1">
      <c r="A2489" s="9"/>
    </row>
    <row r="2490" spans="1:1">
      <c r="A2490" s="9"/>
    </row>
    <row r="2491" spans="1:1">
      <c r="A2491" s="9"/>
    </row>
    <row r="2492" spans="1:1">
      <c r="A2492" s="9"/>
    </row>
    <row r="2493" spans="1:1">
      <c r="A2493" s="9"/>
    </row>
    <row r="2494" spans="1:1">
      <c r="A2494" s="9"/>
    </row>
    <row r="2495" spans="1:1">
      <c r="A2495" s="9"/>
    </row>
    <row r="2496" spans="1:1">
      <c r="A2496" s="9"/>
    </row>
    <row r="2497" spans="1:1">
      <c r="A2497" s="9"/>
    </row>
    <row r="2498" spans="1:1">
      <c r="A2498" s="9"/>
    </row>
    <row r="2499" spans="1:1">
      <c r="A2499" s="9"/>
    </row>
    <row r="2500" spans="1:1">
      <c r="A2500" s="9"/>
    </row>
    <row r="2501" spans="1:1">
      <c r="A2501" s="9"/>
    </row>
    <row r="2502" spans="1:1">
      <c r="A2502" s="9"/>
    </row>
    <row r="2503" spans="1:1">
      <c r="A2503" s="9"/>
    </row>
    <row r="2504" spans="1:1">
      <c r="A2504" s="9"/>
    </row>
    <row r="2505" spans="1:1">
      <c r="A2505" s="9"/>
    </row>
    <row r="2506" spans="1:1">
      <c r="A2506" s="9"/>
    </row>
    <row r="2507" spans="1:1">
      <c r="A2507" s="9"/>
    </row>
    <row r="2508" spans="1:1">
      <c r="A2508" s="9"/>
    </row>
    <row r="2509" spans="1:1">
      <c r="A2509" s="9"/>
    </row>
    <row r="2510" spans="1:1">
      <c r="A2510" s="9"/>
    </row>
    <row r="2511" spans="1:1">
      <c r="A2511" s="9"/>
    </row>
    <row r="2512" spans="1:1">
      <c r="A2512" s="9"/>
    </row>
    <row r="2513" spans="1:1">
      <c r="A2513" s="9"/>
    </row>
    <row r="2514" spans="1:1">
      <c r="A2514" s="9"/>
    </row>
    <row r="2515" spans="1:1">
      <c r="A2515" s="9"/>
    </row>
    <row r="2516" spans="1:1">
      <c r="A2516" s="9"/>
    </row>
    <row r="2517" spans="1:1">
      <c r="A2517" s="9"/>
    </row>
    <row r="2518" spans="1:1">
      <c r="A2518" s="9"/>
    </row>
    <row r="2519" spans="1:1">
      <c r="A2519" s="9"/>
    </row>
    <row r="2520" spans="1:1">
      <c r="A2520" s="9"/>
    </row>
    <row r="2521" spans="1:1">
      <c r="A2521" s="9"/>
    </row>
    <row r="2522" spans="1:1">
      <c r="A2522" s="9"/>
    </row>
    <row r="2523" spans="1:1">
      <c r="A2523" s="9"/>
    </row>
    <row r="2524" spans="1:1">
      <c r="A2524" s="9"/>
    </row>
    <row r="2525" spans="1:1">
      <c r="A2525" s="9"/>
    </row>
    <row r="2526" spans="1:1">
      <c r="A2526" s="9"/>
    </row>
    <row r="2527" spans="1:1">
      <c r="A2527" s="9"/>
    </row>
    <row r="2528" spans="1:1">
      <c r="A2528" s="9"/>
    </row>
    <row r="2529" spans="1:1">
      <c r="A2529" s="9"/>
    </row>
    <row r="2530" spans="1:1">
      <c r="A2530" s="9"/>
    </row>
    <row r="2531" spans="1:1">
      <c r="A2531" s="9"/>
    </row>
    <row r="2532" spans="1:1">
      <c r="A2532" s="9"/>
    </row>
    <row r="2533" spans="1:1">
      <c r="A2533" s="9"/>
    </row>
    <row r="2534" spans="1:1">
      <c r="A2534" s="9"/>
    </row>
    <row r="2535" spans="1:1">
      <c r="A2535" s="9"/>
    </row>
    <row r="2536" spans="1:1">
      <c r="A2536" s="9"/>
    </row>
    <row r="2537" spans="1:1">
      <c r="A2537" s="9"/>
    </row>
    <row r="2538" spans="1:1">
      <c r="A2538" s="9"/>
    </row>
    <row r="2539" spans="1:1">
      <c r="A2539" s="9"/>
    </row>
    <row r="2540" spans="1:1">
      <c r="A2540" s="9"/>
    </row>
    <row r="2541" spans="1:1">
      <c r="A2541" s="9"/>
    </row>
    <row r="2542" spans="1:1">
      <c r="A2542" s="9"/>
    </row>
    <row r="2543" spans="1:1">
      <c r="A2543" s="9"/>
    </row>
    <row r="2544" spans="1:1">
      <c r="A2544" s="9"/>
    </row>
    <row r="2545" spans="1:1">
      <c r="A2545" s="9"/>
    </row>
    <row r="2546" spans="1:1">
      <c r="A2546" s="9"/>
    </row>
    <row r="2547" spans="1:1">
      <c r="A2547" s="9"/>
    </row>
    <row r="2548" spans="1:1">
      <c r="A2548" s="9"/>
    </row>
    <row r="2549" spans="1:1">
      <c r="A2549" s="9"/>
    </row>
    <row r="2550" spans="1:1">
      <c r="A2550" s="9"/>
    </row>
    <row r="2551" spans="1:1">
      <c r="A2551" s="9"/>
    </row>
    <row r="2552" spans="1:1">
      <c r="A2552" s="9"/>
    </row>
    <row r="2553" spans="1:1">
      <c r="A2553" s="9"/>
    </row>
    <row r="2554" spans="1:1">
      <c r="A2554" s="9"/>
    </row>
    <row r="2555" spans="1:1">
      <c r="A2555" s="9"/>
    </row>
    <row r="2556" spans="1:1">
      <c r="A2556" s="9"/>
    </row>
    <row r="2557" spans="1:1">
      <c r="A2557" s="9"/>
    </row>
    <row r="2558" spans="1:1">
      <c r="A2558" s="9"/>
    </row>
    <row r="2559" spans="1:1">
      <c r="A2559" s="9"/>
    </row>
    <row r="2560" spans="1:1">
      <c r="A2560" s="9"/>
    </row>
    <row r="2561" spans="1:1">
      <c r="A2561" s="9"/>
    </row>
    <row r="2562" spans="1:1">
      <c r="A2562" s="9"/>
    </row>
    <row r="2563" spans="1:1">
      <c r="A2563" s="9"/>
    </row>
    <row r="2564" spans="1:1">
      <c r="A2564" s="9"/>
    </row>
    <row r="2565" spans="1:1">
      <c r="A2565" s="9"/>
    </row>
    <row r="2566" spans="1:1">
      <c r="A2566" s="9"/>
    </row>
    <row r="2567" spans="1:1">
      <c r="A2567" s="9"/>
    </row>
    <row r="2568" spans="1:1">
      <c r="A2568" s="9"/>
    </row>
    <row r="2569" spans="1:1">
      <c r="A2569" s="9"/>
    </row>
    <row r="2570" spans="1:1">
      <c r="A2570" s="9"/>
    </row>
    <row r="2571" spans="1:1">
      <c r="A2571" s="9"/>
    </row>
    <row r="2572" spans="1:1">
      <c r="A2572" s="9"/>
    </row>
    <row r="2573" spans="1:1">
      <c r="A2573" s="9"/>
    </row>
    <row r="2574" spans="1:1">
      <c r="A2574" s="9"/>
    </row>
    <row r="2575" spans="1:1">
      <c r="A2575" s="9"/>
    </row>
    <row r="2576" spans="1:1">
      <c r="A2576" s="9"/>
    </row>
    <row r="2577" spans="1:1">
      <c r="A2577" s="9"/>
    </row>
    <row r="2578" spans="1:1">
      <c r="A2578" s="9"/>
    </row>
    <row r="2579" spans="1:1">
      <c r="A2579" s="9"/>
    </row>
    <row r="2580" spans="1:1">
      <c r="A2580" s="9"/>
    </row>
    <row r="2581" spans="1:1">
      <c r="A2581" s="9"/>
    </row>
    <row r="2582" spans="1:1">
      <c r="A2582" s="9"/>
    </row>
    <row r="2583" spans="1:1">
      <c r="A2583" s="9"/>
    </row>
    <row r="2584" spans="1:1">
      <c r="A2584" s="9"/>
    </row>
    <row r="2585" spans="1:1">
      <c r="A2585" s="9"/>
    </row>
    <row r="2586" spans="1:1">
      <c r="A2586" s="9"/>
    </row>
    <row r="2587" spans="1:1">
      <c r="A2587" s="9"/>
    </row>
    <row r="2588" spans="1:1">
      <c r="A2588" s="9"/>
    </row>
    <row r="2589" spans="1:1">
      <c r="A2589" s="9"/>
    </row>
    <row r="2590" spans="1:1">
      <c r="A2590" s="9"/>
    </row>
    <row r="2591" spans="1:1">
      <c r="A2591" s="9"/>
    </row>
    <row r="2592" spans="1:1">
      <c r="A2592" s="9"/>
    </row>
    <row r="2593" spans="1:1">
      <c r="A2593" s="9"/>
    </row>
    <row r="2594" spans="1:1">
      <c r="A2594" s="9"/>
    </row>
    <row r="2595" spans="1:1">
      <c r="A2595" s="9"/>
    </row>
    <row r="2596" spans="1:1">
      <c r="A2596" s="9"/>
    </row>
    <row r="2597" spans="1:1">
      <c r="A2597" s="9"/>
    </row>
    <row r="2598" spans="1:1">
      <c r="A2598" s="9"/>
    </row>
    <row r="2599" spans="1:1">
      <c r="A2599" s="9"/>
    </row>
    <row r="2600" spans="1:1">
      <c r="A2600" s="9"/>
    </row>
    <row r="2601" spans="1:1">
      <c r="A2601" s="9"/>
    </row>
    <row r="2602" spans="1:1">
      <c r="A2602" s="9"/>
    </row>
    <row r="2603" spans="1:1">
      <c r="A2603" s="9"/>
    </row>
    <row r="2604" spans="1:1">
      <c r="A2604" s="9"/>
    </row>
    <row r="2605" spans="1:1">
      <c r="A2605" s="9"/>
    </row>
    <row r="2606" spans="1:1">
      <c r="A2606" s="9"/>
    </row>
    <row r="2607" spans="1:1">
      <c r="A2607" s="9"/>
    </row>
    <row r="2608" spans="1:1">
      <c r="A2608" s="9"/>
    </row>
    <row r="2609" spans="1:1">
      <c r="A2609" s="9"/>
    </row>
    <row r="2610" spans="1:1">
      <c r="A2610" s="9"/>
    </row>
    <row r="2611" spans="1:1">
      <c r="A2611" s="9"/>
    </row>
    <row r="2612" spans="1:1">
      <c r="A2612" s="9"/>
    </row>
    <row r="2613" spans="1:1">
      <c r="A2613" s="9"/>
    </row>
    <row r="2614" spans="1:1">
      <c r="A2614" s="9"/>
    </row>
    <row r="2615" spans="1:1">
      <c r="A2615" s="9"/>
    </row>
    <row r="2616" spans="1:1">
      <c r="A2616" s="9"/>
    </row>
    <row r="2617" spans="1:1">
      <c r="A2617" s="9"/>
    </row>
    <row r="2618" spans="1:1">
      <c r="A2618" s="9"/>
    </row>
    <row r="2619" spans="1:1">
      <c r="A2619" s="9"/>
    </row>
    <row r="2620" spans="1:1">
      <c r="A2620" s="9"/>
    </row>
    <row r="2621" spans="1:1">
      <c r="A2621" s="9"/>
    </row>
    <row r="2622" spans="1:1">
      <c r="A2622" s="9"/>
    </row>
    <row r="2623" spans="1:1">
      <c r="A2623" s="9"/>
    </row>
    <row r="2624" spans="1:1">
      <c r="A2624" s="9"/>
    </row>
    <row r="2625" spans="1:1">
      <c r="A2625" s="9"/>
    </row>
    <row r="2626" spans="1:1">
      <c r="A2626" s="9"/>
    </row>
    <row r="2627" spans="1:1">
      <c r="A2627" s="9"/>
    </row>
    <row r="2628" spans="1:1">
      <c r="A2628" s="9"/>
    </row>
    <row r="2629" spans="1:1">
      <c r="A2629" s="9"/>
    </row>
    <row r="2630" spans="1:1">
      <c r="A2630" s="9"/>
    </row>
    <row r="2631" spans="1:1">
      <c r="A2631" s="9"/>
    </row>
    <row r="2632" spans="1:1">
      <c r="A2632" s="9"/>
    </row>
    <row r="2633" spans="1:1">
      <c r="A2633" s="9"/>
    </row>
    <row r="2634" spans="1:1">
      <c r="A2634" s="9"/>
    </row>
    <row r="2635" spans="1:1">
      <c r="A2635" s="9"/>
    </row>
    <row r="2636" spans="1:1">
      <c r="A2636" s="9"/>
    </row>
    <row r="2637" spans="1:1">
      <c r="A2637" s="9"/>
    </row>
    <row r="2638" spans="1:1">
      <c r="A2638" s="9"/>
    </row>
    <row r="2639" spans="1:1">
      <c r="A2639" s="9"/>
    </row>
    <row r="2640" spans="1:1">
      <c r="A2640" s="9"/>
    </row>
    <row r="2641" spans="1:1">
      <c r="A2641" s="9"/>
    </row>
    <row r="2642" spans="1:1">
      <c r="A2642" s="9"/>
    </row>
    <row r="2643" spans="1:1">
      <c r="A2643" s="9"/>
    </row>
    <row r="2644" spans="1:1">
      <c r="A2644" s="9"/>
    </row>
    <row r="2645" spans="1:1">
      <c r="A2645" s="9"/>
    </row>
    <row r="2646" spans="1:1">
      <c r="A2646" s="9"/>
    </row>
    <row r="2647" spans="1:1">
      <c r="A2647" s="9"/>
    </row>
    <row r="2648" spans="1:1">
      <c r="A2648" s="9"/>
    </row>
    <row r="2649" spans="1:1">
      <c r="A2649" s="9"/>
    </row>
    <row r="2650" spans="1:1">
      <c r="A2650" s="9"/>
    </row>
    <row r="2651" spans="1:1">
      <c r="A2651" s="9"/>
    </row>
    <row r="2652" spans="1:1">
      <c r="A2652" s="9"/>
    </row>
    <row r="2653" spans="1:1">
      <c r="A2653" s="9"/>
    </row>
    <row r="2654" spans="1:1">
      <c r="A2654" s="9"/>
    </row>
    <row r="2655" spans="1:1">
      <c r="A2655" s="9"/>
    </row>
    <row r="2656" spans="1:1">
      <c r="A2656" s="9"/>
    </row>
    <row r="2657" spans="1:1">
      <c r="A2657" s="9"/>
    </row>
    <row r="2658" spans="1:1">
      <c r="A2658" s="9"/>
    </row>
    <row r="2659" spans="1:1">
      <c r="A2659" s="9"/>
    </row>
    <row r="2660" spans="1:1">
      <c r="A2660" s="9"/>
    </row>
    <row r="2661" spans="1:1">
      <c r="A2661" s="9"/>
    </row>
    <row r="2662" spans="1:1">
      <c r="A2662" s="9"/>
    </row>
    <row r="2663" spans="1:1">
      <c r="A2663" s="9"/>
    </row>
    <row r="2664" spans="1:1">
      <c r="A2664" s="9"/>
    </row>
    <row r="2665" spans="1:1">
      <c r="A2665" s="9"/>
    </row>
    <row r="2666" spans="1:1">
      <c r="A2666" s="9"/>
    </row>
    <row r="2667" spans="1:1">
      <c r="A2667" s="9"/>
    </row>
    <row r="2668" spans="1:1">
      <c r="A2668" s="9"/>
    </row>
    <row r="2669" spans="1:1">
      <c r="A2669" s="9"/>
    </row>
    <row r="2670" spans="1:1">
      <c r="A2670" s="9"/>
    </row>
    <row r="2671" spans="1:1">
      <c r="A2671" s="9"/>
    </row>
    <row r="2672" spans="1:1">
      <c r="A2672" s="9"/>
    </row>
    <row r="2673" spans="1:1">
      <c r="A2673" s="9"/>
    </row>
    <row r="2674" spans="1:1">
      <c r="A2674" s="9"/>
    </row>
    <row r="2675" spans="1:1">
      <c r="A2675" s="9"/>
    </row>
    <row r="2676" spans="1:1">
      <c r="A2676" s="9"/>
    </row>
    <row r="2677" spans="1:1">
      <c r="A2677" s="9"/>
    </row>
    <row r="2678" spans="1:1">
      <c r="A2678" s="9"/>
    </row>
    <row r="2679" spans="1:1">
      <c r="A2679" s="9"/>
    </row>
    <row r="2680" spans="1:1">
      <c r="A2680" s="9"/>
    </row>
    <row r="2681" spans="1:1">
      <c r="A2681" s="9"/>
    </row>
    <row r="2682" spans="1:1">
      <c r="A2682" s="9"/>
    </row>
    <row r="2683" spans="1:1">
      <c r="A2683" s="9"/>
    </row>
    <row r="2684" spans="1:1">
      <c r="A2684" s="9"/>
    </row>
    <row r="2685" spans="1:1">
      <c r="A2685" s="9"/>
    </row>
    <row r="2686" spans="1:1">
      <c r="A2686" s="9"/>
    </row>
    <row r="2687" spans="1:1">
      <c r="A2687" s="9"/>
    </row>
    <row r="2688" spans="1:1">
      <c r="A2688" s="9"/>
    </row>
    <row r="2689" spans="1:1">
      <c r="A2689" s="9"/>
    </row>
    <row r="2690" spans="1:1">
      <c r="A2690" s="9"/>
    </row>
    <row r="2691" spans="1:1">
      <c r="A2691" s="9"/>
    </row>
    <row r="2692" spans="1:1">
      <c r="A2692" s="9"/>
    </row>
    <row r="2693" spans="1:1">
      <c r="A2693" s="9"/>
    </row>
    <row r="2694" spans="1:1">
      <c r="A2694" s="9"/>
    </row>
    <row r="2695" spans="1:1">
      <c r="A2695" s="9"/>
    </row>
    <row r="2696" spans="1:1">
      <c r="A2696" s="9"/>
    </row>
    <row r="2697" spans="1:1">
      <c r="A2697" s="9"/>
    </row>
    <row r="2698" spans="1:1">
      <c r="A2698" s="9"/>
    </row>
    <row r="2699" spans="1:1">
      <c r="A2699" s="9"/>
    </row>
    <row r="2700" spans="1:1">
      <c r="A2700" s="9"/>
    </row>
    <row r="2701" spans="1:1">
      <c r="A2701" s="9"/>
    </row>
    <row r="2702" spans="1:1">
      <c r="A2702" s="9"/>
    </row>
    <row r="2703" spans="1:1">
      <c r="A2703" s="9"/>
    </row>
    <row r="2704" spans="1:1">
      <c r="A2704" s="9"/>
    </row>
    <row r="2705" spans="1:1">
      <c r="A2705" s="9"/>
    </row>
    <row r="2706" spans="1:1">
      <c r="A2706" s="9"/>
    </row>
    <row r="2707" spans="1:1">
      <c r="A2707" s="9"/>
    </row>
    <row r="2708" spans="1:1">
      <c r="A2708" s="9"/>
    </row>
    <row r="2709" spans="1:1">
      <c r="A2709" s="9"/>
    </row>
    <row r="2710" spans="1:1">
      <c r="A2710" s="9"/>
    </row>
    <row r="2711" spans="1:1">
      <c r="A2711" s="9"/>
    </row>
    <row r="2712" spans="1:1">
      <c r="A2712" s="9"/>
    </row>
    <row r="2713" spans="1:1">
      <c r="A2713" s="9"/>
    </row>
    <row r="2714" spans="1:1">
      <c r="A2714" s="9"/>
    </row>
    <row r="2715" spans="1:1">
      <c r="A2715" s="9"/>
    </row>
    <row r="2716" spans="1:1">
      <c r="A2716" s="9"/>
    </row>
    <row r="2717" spans="1:1">
      <c r="A2717" s="9"/>
    </row>
    <row r="2718" spans="1:1">
      <c r="A2718" s="9"/>
    </row>
    <row r="2719" spans="1:1">
      <c r="A2719" s="9"/>
    </row>
    <row r="2720" spans="1:1">
      <c r="A2720" s="9"/>
    </row>
    <row r="2721" spans="1:1">
      <c r="A2721" s="9"/>
    </row>
    <row r="2722" spans="1:1">
      <c r="A2722" s="9"/>
    </row>
    <row r="2723" spans="1:1">
      <c r="A2723" s="9"/>
    </row>
    <row r="2724" spans="1:1">
      <c r="A2724" s="9"/>
    </row>
    <row r="2725" spans="1:1">
      <c r="A2725" s="9"/>
    </row>
    <row r="2726" spans="1:1">
      <c r="A2726" s="9"/>
    </row>
    <row r="2727" spans="1:1">
      <c r="A2727" s="9"/>
    </row>
    <row r="2728" spans="1:1">
      <c r="A2728" s="9"/>
    </row>
    <row r="2729" spans="1:1">
      <c r="A2729" s="9"/>
    </row>
    <row r="2730" spans="1:1">
      <c r="A2730" s="9"/>
    </row>
    <row r="2731" spans="1:1">
      <c r="A2731" s="9"/>
    </row>
    <row r="2732" spans="1:1">
      <c r="A2732" s="9"/>
    </row>
    <row r="2733" spans="1:1">
      <c r="A2733" s="9"/>
    </row>
    <row r="2734" spans="1:1">
      <c r="A2734" s="9"/>
    </row>
    <row r="2735" spans="1:1">
      <c r="A2735" s="9"/>
    </row>
    <row r="2736" spans="1:1">
      <c r="A2736" s="9"/>
    </row>
    <row r="2737" spans="1:1">
      <c r="A2737" s="9"/>
    </row>
    <row r="2738" spans="1:1">
      <c r="A2738" s="9"/>
    </row>
    <row r="2739" spans="1:1">
      <c r="A2739" s="9"/>
    </row>
    <row r="2740" spans="1:1">
      <c r="A2740" s="9"/>
    </row>
    <row r="2741" spans="1:1">
      <c r="A2741" s="9"/>
    </row>
    <row r="2742" spans="1:1">
      <c r="A2742" s="9"/>
    </row>
    <row r="2743" spans="1:1">
      <c r="A2743" s="9"/>
    </row>
    <row r="2744" spans="1:1">
      <c r="A2744" s="9"/>
    </row>
    <row r="2745" spans="1:1">
      <c r="A2745" s="9"/>
    </row>
    <row r="2746" spans="1:1">
      <c r="A2746" s="9"/>
    </row>
    <row r="2747" spans="1:1">
      <c r="A2747" s="9"/>
    </row>
    <row r="2748" spans="1:1">
      <c r="A2748" s="9"/>
    </row>
    <row r="2749" spans="1:1">
      <c r="A2749" s="9"/>
    </row>
    <row r="2750" spans="1:1">
      <c r="A2750" s="9"/>
    </row>
    <row r="2751" spans="1:1">
      <c r="A2751" s="9"/>
    </row>
    <row r="2752" spans="1:1">
      <c r="A2752" s="9"/>
    </row>
    <row r="2753" spans="1:1">
      <c r="A2753" s="9"/>
    </row>
    <row r="2754" spans="1:1">
      <c r="A2754" s="9"/>
    </row>
    <row r="2755" spans="1:1">
      <c r="A2755" s="9"/>
    </row>
    <row r="2756" spans="1:1">
      <c r="A2756" s="9"/>
    </row>
    <row r="2757" spans="1:1">
      <c r="A2757" s="9"/>
    </row>
    <row r="2758" spans="1:1">
      <c r="A2758" s="9"/>
    </row>
    <row r="2759" spans="1:1">
      <c r="A2759" s="9"/>
    </row>
    <row r="2760" spans="1:1">
      <c r="A2760" s="9"/>
    </row>
    <row r="2761" spans="1:1">
      <c r="A2761" s="9"/>
    </row>
    <row r="2762" spans="1:1">
      <c r="A2762" s="9"/>
    </row>
    <row r="2763" spans="1:1">
      <c r="A2763" s="9"/>
    </row>
    <row r="2764" spans="1:1">
      <c r="A2764" s="9"/>
    </row>
    <row r="2765" spans="1:1">
      <c r="A2765" s="9"/>
    </row>
    <row r="2766" spans="1:1">
      <c r="A2766" s="9"/>
    </row>
    <row r="2767" spans="1:1">
      <c r="A2767" s="9"/>
    </row>
    <row r="2768" spans="1:1">
      <c r="A2768" s="9"/>
    </row>
    <row r="2769" spans="1:1">
      <c r="A2769" s="9"/>
    </row>
    <row r="2770" spans="1:1">
      <c r="A2770" s="9"/>
    </row>
    <row r="2771" spans="1:1">
      <c r="A2771" s="9"/>
    </row>
    <row r="2772" spans="1:1">
      <c r="A2772" s="9"/>
    </row>
    <row r="2773" spans="1:1">
      <c r="A2773" s="9"/>
    </row>
    <row r="2774" spans="1:1">
      <c r="A2774" s="9"/>
    </row>
    <row r="2775" spans="1:1">
      <c r="A2775" s="9"/>
    </row>
    <row r="2776" spans="1:1">
      <c r="A2776" s="9"/>
    </row>
    <row r="2777" spans="1:1">
      <c r="A2777" s="9"/>
    </row>
    <row r="2778" spans="1:1">
      <c r="A2778" s="9"/>
    </row>
    <row r="2779" spans="1:1">
      <c r="A2779" s="9"/>
    </row>
    <row r="2780" spans="1:1">
      <c r="A2780" s="9"/>
    </row>
    <row r="2781" spans="1:1">
      <c r="A2781" s="9"/>
    </row>
    <row r="2782" spans="1:1">
      <c r="A2782" s="9"/>
    </row>
    <row r="2783" spans="1:1">
      <c r="A2783" s="9"/>
    </row>
    <row r="2784" spans="1:1">
      <c r="A2784" s="9"/>
    </row>
    <row r="2785" spans="1:1">
      <c r="A2785" s="9"/>
    </row>
    <row r="2786" spans="1:1">
      <c r="A2786" s="9"/>
    </row>
    <row r="2787" spans="1:1">
      <c r="A2787" s="9"/>
    </row>
    <row r="2788" spans="1:1">
      <c r="A2788" s="9"/>
    </row>
    <row r="2789" spans="1:1">
      <c r="A2789" s="9"/>
    </row>
    <row r="2790" spans="1:1">
      <c r="A2790" s="9"/>
    </row>
    <row r="2791" spans="1:1">
      <c r="A2791" s="9"/>
    </row>
    <row r="2792" spans="1:1">
      <c r="A2792" s="9"/>
    </row>
    <row r="2793" spans="1:1">
      <c r="A2793" s="9"/>
    </row>
    <row r="2794" spans="1:1">
      <c r="A2794" s="9"/>
    </row>
    <row r="2795" spans="1:1">
      <c r="A2795" s="9"/>
    </row>
    <row r="2796" spans="1:1">
      <c r="A2796" s="9"/>
    </row>
    <row r="2797" spans="1:1">
      <c r="A2797" s="9"/>
    </row>
    <row r="2798" spans="1:1">
      <c r="A2798" s="9"/>
    </row>
    <row r="2799" spans="1:1">
      <c r="A2799" s="9"/>
    </row>
    <row r="2800" spans="1:1">
      <c r="A2800" s="9"/>
    </row>
    <row r="2801" spans="1:1">
      <c r="A2801" s="9"/>
    </row>
    <row r="2802" spans="1:1">
      <c r="A2802" s="9"/>
    </row>
    <row r="2803" spans="1:1">
      <c r="A2803" s="9"/>
    </row>
    <row r="2804" spans="1:1">
      <c r="A2804" s="9"/>
    </row>
    <row r="2805" spans="1:1">
      <c r="A2805" s="9"/>
    </row>
    <row r="2806" spans="1:1">
      <c r="A2806" s="9"/>
    </row>
    <row r="2807" spans="1:1">
      <c r="A2807" s="9"/>
    </row>
    <row r="2808" spans="1:1">
      <c r="A2808" s="9"/>
    </row>
    <row r="2809" spans="1:1">
      <c r="A2809" s="9"/>
    </row>
    <row r="2810" spans="1:1">
      <c r="A2810" s="9"/>
    </row>
    <row r="2811" spans="1:1">
      <c r="A2811" s="9"/>
    </row>
    <row r="2812" spans="1:1">
      <c r="A2812" s="9"/>
    </row>
    <row r="2813" spans="1:1">
      <c r="A2813" s="9"/>
    </row>
    <row r="2814" spans="1:1">
      <c r="A2814" s="9"/>
    </row>
    <row r="2815" spans="1:1">
      <c r="A2815" s="9"/>
    </row>
    <row r="2816" spans="1:1">
      <c r="A2816" s="9"/>
    </row>
    <row r="2817" spans="1:1">
      <c r="A2817" s="9"/>
    </row>
    <row r="2818" spans="1:1">
      <c r="A2818" s="9"/>
    </row>
    <row r="2819" spans="1:1">
      <c r="A2819" s="9"/>
    </row>
    <row r="2820" spans="1:1">
      <c r="A2820" s="9"/>
    </row>
    <row r="2821" spans="1:1">
      <c r="A2821" s="9"/>
    </row>
    <row r="2822" spans="1:1">
      <c r="A2822" s="9"/>
    </row>
    <row r="2823" spans="1:1">
      <c r="A2823" s="9"/>
    </row>
    <row r="2824" spans="1:1">
      <c r="A2824" s="9"/>
    </row>
    <row r="2825" spans="1:1">
      <c r="A2825" s="9"/>
    </row>
    <row r="2826" spans="1:1">
      <c r="A2826" s="9"/>
    </row>
    <row r="2827" spans="1:1">
      <c r="A2827" s="9"/>
    </row>
    <row r="2828" spans="1:1">
      <c r="A2828" s="9"/>
    </row>
    <row r="2829" spans="1:1">
      <c r="A2829" s="9"/>
    </row>
    <row r="2830" spans="1:1">
      <c r="A2830" s="9"/>
    </row>
    <row r="2831" spans="1:1">
      <c r="A2831" s="9"/>
    </row>
    <row r="2832" spans="1:1">
      <c r="A2832" s="9"/>
    </row>
    <row r="2833" spans="1:1">
      <c r="A2833" s="9"/>
    </row>
    <row r="2834" spans="1:1">
      <c r="A2834" s="9"/>
    </row>
    <row r="2835" spans="1:1">
      <c r="A2835" s="9"/>
    </row>
    <row r="2836" spans="1:1">
      <c r="A2836" s="9"/>
    </row>
    <row r="2837" spans="1:1">
      <c r="A2837" s="9"/>
    </row>
    <row r="2838" spans="1:1">
      <c r="A2838" s="9"/>
    </row>
    <row r="2839" spans="1:1">
      <c r="A2839" s="9"/>
    </row>
    <row r="2840" spans="1:1">
      <c r="A2840" s="9"/>
    </row>
    <row r="2841" spans="1:1">
      <c r="A2841" s="9"/>
    </row>
    <row r="2842" spans="1:1">
      <c r="A2842" s="9"/>
    </row>
    <row r="2843" spans="1:1">
      <c r="A2843" s="9"/>
    </row>
    <row r="2844" spans="1:1">
      <c r="A2844" s="9"/>
    </row>
    <row r="2845" spans="1:1">
      <c r="A2845" s="9"/>
    </row>
    <row r="2846" spans="1:1">
      <c r="A2846" s="9"/>
    </row>
    <row r="2847" spans="1:1">
      <c r="A2847" s="9"/>
    </row>
    <row r="2848" spans="1:1">
      <c r="A2848" s="9"/>
    </row>
    <row r="2849" spans="1:1">
      <c r="A2849" s="9"/>
    </row>
    <row r="2850" spans="1:1">
      <c r="A2850" s="9"/>
    </row>
    <row r="2851" spans="1:1">
      <c r="A2851" s="9"/>
    </row>
    <row r="2852" spans="1:1">
      <c r="A2852" s="9"/>
    </row>
    <row r="2853" spans="1:1">
      <c r="A2853" s="9"/>
    </row>
    <row r="2854" spans="1:1">
      <c r="A2854" s="9"/>
    </row>
    <row r="2855" spans="1:1">
      <c r="A2855" s="9"/>
    </row>
    <row r="2856" spans="1:1">
      <c r="A2856" s="9"/>
    </row>
    <row r="2857" spans="1:1">
      <c r="A2857" s="9"/>
    </row>
    <row r="2858" spans="1:1">
      <c r="A2858" s="9"/>
    </row>
    <row r="2859" spans="1:1">
      <c r="A2859" s="9"/>
    </row>
    <row r="2860" spans="1:1">
      <c r="A2860" s="9"/>
    </row>
    <row r="2861" spans="1:1">
      <c r="A2861" s="9"/>
    </row>
    <row r="2862" spans="1:1">
      <c r="A2862" s="9"/>
    </row>
    <row r="2863" spans="1:1">
      <c r="A2863" s="9"/>
    </row>
    <row r="2864" spans="1:1">
      <c r="A2864" s="9"/>
    </row>
    <row r="2865" spans="1:1">
      <c r="A2865" s="9"/>
    </row>
    <row r="2866" spans="1:1">
      <c r="A2866" s="9"/>
    </row>
    <row r="2867" spans="1:1">
      <c r="A2867" s="9"/>
    </row>
    <row r="2868" spans="1:1">
      <c r="A2868" s="9"/>
    </row>
    <row r="2869" spans="1:1">
      <c r="A2869" s="9"/>
    </row>
    <row r="2870" spans="1:1">
      <c r="A2870" s="9"/>
    </row>
    <row r="2871" spans="1:1">
      <c r="A2871" s="9"/>
    </row>
    <row r="2872" spans="1:1">
      <c r="A2872" s="9"/>
    </row>
    <row r="2873" spans="1:1">
      <c r="A2873" s="9"/>
    </row>
    <row r="2874" spans="1:1">
      <c r="A2874" s="9"/>
    </row>
    <row r="2875" spans="1:1">
      <c r="A2875" s="9"/>
    </row>
    <row r="2876" spans="1:1">
      <c r="A2876" s="9"/>
    </row>
    <row r="2877" spans="1:1">
      <c r="A2877" s="9"/>
    </row>
    <row r="2878" spans="1:1">
      <c r="A2878" s="9"/>
    </row>
    <row r="2879" spans="1:1">
      <c r="A2879" s="9"/>
    </row>
    <row r="2880" spans="1:1">
      <c r="A2880" s="9"/>
    </row>
    <row r="2881" spans="1:1">
      <c r="A2881" s="9"/>
    </row>
    <row r="2882" spans="1:1">
      <c r="A2882" s="9"/>
    </row>
    <row r="2883" spans="1:1">
      <c r="A2883" s="9"/>
    </row>
    <row r="2884" spans="1:1">
      <c r="A2884" s="9"/>
    </row>
    <row r="2885" spans="1:1">
      <c r="A2885" s="9"/>
    </row>
    <row r="2886" spans="1:1">
      <c r="A2886" s="9"/>
    </row>
    <row r="2887" spans="1:1">
      <c r="A2887" s="9"/>
    </row>
    <row r="2888" spans="1:1">
      <c r="A2888" s="9"/>
    </row>
    <row r="2889" spans="1:1">
      <c r="A2889" s="9"/>
    </row>
    <row r="2890" spans="1:1">
      <c r="A2890" s="9"/>
    </row>
    <row r="2891" spans="1:1">
      <c r="A2891" s="9"/>
    </row>
    <row r="2892" spans="1:1">
      <c r="A2892" s="9"/>
    </row>
    <row r="2893" spans="1:1">
      <c r="A2893" s="9"/>
    </row>
    <row r="2894" spans="1:1">
      <c r="A2894" s="9"/>
    </row>
    <row r="2895" spans="1:1">
      <c r="A2895" s="9"/>
    </row>
    <row r="2896" spans="1:1">
      <c r="A2896" s="9"/>
    </row>
    <row r="2897" spans="1:1">
      <c r="A2897" s="9"/>
    </row>
    <row r="2898" spans="1:1">
      <c r="A2898" s="9"/>
    </row>
    <row r="2899" spans="1:1">
      <c r="A2899" s="9"/>
    </row>
    <row r="2900" spans="1:1">
      <c r="A2900" s="9"/>
    </row>
    <row r="2901" spans="1:1">
      <c r="A2901" s="9"/>
    </row>
    <row r="2902" spans="1:1">
      <c r="A2902" s="9"/>
    </row>
    <row r="2903" spans="1:1">
      <c r="A2903" s="9"/>
    </row>
    <row r="2904" spans="1:1">
      <c r="A2904" s="9"/>
    </row>
    <row r="2905" spans="1:1">
      <c r="A2905" s="9"/>
    </row>
    <row r="2906" spans="1:1">
      <c r="A2906" s="9"/>
    </row>
    <row r="2907" spans="1:1">
      <c r="A2907" s="9"/>
    </row>
    <row r="2908" spans="1:1">
      <c r="A2908" s="9"/>
    </row>
    <row r="2909" spans="1:1">
      <c r="A2909" s="9"/>
    </row>
    <row r="2910" spans="1:1">
      <c r="A2910" s="9"/>
    </row>
    <row r="2911" spans="1:1">
      <c r="A2911" s="9"/>
    </row>
    <row r="2912" spans="1:1">
      <c r="A2912" s="9"/>
    </row>
    <row r="2913" spans="1:1">
      <c r="A2913" s="9"/>
    </row>
    <row r="2914" spans="1:1">
      <c r="A2914" s="9"/>
    </row>
    <row r="2915" spans="1:1">
      <c r="A2915" s="9"/>
    </row>
    <row r="2916" spans="1:1">
      <c r="A2916" s="9"/>
    </row>
    <row r="2917" spans="1:1">
      <c r="A2917" s="9"/>
    </row>
    <row r="2918" spans="1:1">
      <c r="A2918" s="9"/>
    </row>
    <row r="2919" spans="1:1">
      <c r="A2919" s="9"/>
    </row>
    <row r="2920" spans="1:1">
      <c r="A2920" s="9"/>
    </row>
    <row r="2921" spans="1:1">
      <c r="A2921" s="9"/>
    </row>
    <row r="2922" spans="1:1">
      <c r="A2922" s="9"/>
    </row>
    <row r="2923" spans="1:1">
      <c r="A2923" s="9"/>
    </row>
    <row r="2924" spans="1:1">
      <c r="A2924" s="9"/>
    </row>
    <row r="2925" spans="1:1">
      <c r="A2925" s="9"/>
    </row>
    <row r="2926" spans="1:1">
      <c r="A2926" s="9"/>
    </row>
    <row r="2927" spans="1:1">
      <c r="A2927" s="9"/>
    </row>
    <row r="2928" spans="1:1">
      <c r="A2928" s="9"/>
    </row>
    <row r="2929" spans="1:1">
      <c r="A2929" s="9"/>
    </row>
    <row r="2930" spans="1:1">
      <c r="A2930" s="9"/>
    </row>
    <row r="2931" spans="1:1">
      <c r="A2931" s="9"/>
    </row>
    <row r="2932" spans="1:1">
      <c r="A2932" s="9"/>
    </row>
    <row r="2933" spans="1:1">
      <c r="A2933" s="9"/>
    </row>
    <row r="2934" spans="1:1">
      <c r="A2934" s="9"/>
    </row>
    <row r="2935" spans="1:1">
      <c r="A2935" s="9"/>
    </row>
    <row r="2936" spans="1:1">
      <c r="A2936" s="9"/>
    </row>
    <row r="2937" spans="1:1">
      <c r="A2937" s="9"/>
    </row>
    <row r="2938" spans="1:1">
      <c r="A2938" s="9"/>
    </row>
    <row r="2939" spans="1:1">
      <c r="A2939" s="9"/>
    </row>
    <row r="2940" spans="1:1">
      <c r="A2940" s="9"/>
    </row>
    <row r="2941" spans="1:1">
      <c r="A2941" s="9"/>
    </row>
    <row r="2942" spans="1:1">
      <c r="A2942" s="9"/>
    </row>
    <row r="2943" spans="1:1">
      <c r="A2943" s="9"/>
    </row>
    <row r="2944" spans="1:1">
      <c r="A2944" s="9"/>
    </row>
    <row r="2945" spans="1:1">
      <c r="A2945" s="9"/>
    </row>
    <row r="2946" spans="1:1">
      <c r="A2946" s="9"/>
    </row>
    <row r="2947" spans="1:1">
      <c r="A2947" s="9"/>
    </row>
    <row r="2948" spans="1:1">
      <c r="A2948" s="9"/>
    </row>
    <row r="2949" spans="1:1">
      <c r="A2949" s="9"/>
    </row>
    <row r="2950" spans="1:1">
      <c r="A2950" s="9"/>
    </row>
    <row r="2951" spans="1:1">
      <c r="A2951" s="9"/>
    </row>
    <row r="2952" spans="1:1">
      <c r="A2952" s="9"/>
    </row>
    <row r="2953" spans="1:1">
      <c r="A2953" s="9"/>
    </row>
    <row r="2954" spans="1:1">
      <c r="A2954" s="9"/>
    </row>
    <row r="2955" spans="1:1">
      <c r="A2955" s="9"/>
    </row>
    <row r="2956" spans="1:1">
      <c r="A2956" s="9"/>
    </row>
    <row r="2957" spans="1:1">
      <c r="A2957" s="9"/>
    </row>
    <row r="2958" spans="1:1">
      <c r="A2958" s="9"/>
    </row>
    <row r="2959" spans="1:1">
      <c r="A2959" s="9"/>
    </row>
    <row r="2960" spans="1:1">
      <c r="A2960" s="9"/>
    </row>
    <row r="2961" spans="1:1">
      <c r="A2961" s="9"/>
    </row>
    <row r="2962" spans="1:1">
      <c r="A2962" s="9"/>
    </row>
    <row r="2963" spans="1:1">
      <c r="A2963" s="9"/>
    </row>
    <row r="2964" spans="1:1">
      <c r="A2964" s="9"/>
    </row>
    <row r="2965" spans="1:1">
      <c r="A2965" s="9"/>
    </row>
    <row r="2966" spans="1:1">
      <c r="A2966" s="9"/>
    </row>
    <row r="2967" spans="1:1">
      <c r="A2967" s="9"/>
    </row>
    <row r="2968" spans="1:1">
      <c r="A2968" s="9"/>
    </row>
    <row r="2969" spans="1:1">
      <c r="A2969" s="9"/>
    </row>
    <row r="2970" spans="1:1">
      <c r="A2970" s="9"/>
    </row>
    <row r="2971" spans="1:1">
      <c r="A2971" s="9"/>
    </row>
    <row r="2972" spans="1:1">
      <c r="A2972" s="9"/>
    </row>
    <row r="2973" spans="1:1">
      <c r="A2973" s="9"/>
    </row>
    <row r="2974" spans="1:1">
      <c r="A2974" s="9"/>
    </row>
    <row r="2975" spans="1:1">
      <c r="A2975" s="9"/>
    </row>
    <row r="2976" spans="1:1">
      <c r="A2976" s="9"/>
    </row>
    <row r="2977" spans="1:1">
      <c r="A2977" s="9"/>
    </row>
    <row r="2978" spans="1:1">
      <c r="A2978" s="9"/>
    </row>
    <row r="2979" spans="1:1">
      <c r="A2979" s="9"/>
    </row>
    <row r="2980" spans="1:1">
      <c r="A2980" s="9"/>
    </row>
    <row r="2981" spans="1:1">
      <c r="A2981" s="9"/>
    </row>
    <row r="2982" spans="1:1">
      <c r="A2982" s="9"/>
    </row>
    <row r="2983" spans="1:1">
      <c r="A2983" s="9"/>
    </row>
    <row r="2984" spans="1:1">
      <c r="A2984" s="9"/>
    </row>
    <row r="2985" spans="1:1">
      <c r="A2985" s="9"/>
    </row>
    <row r="2986" spans="1:1">
      <c r="A2986" s="9"/>
    </row>
    <row r="2987" spans="1:1">
      <c r="A2987" s="9"/>
    </row>
    <row r="2988" spans="1:1">
      <c r="A2988" s="9"/>
    </row>
    <row r="2989" spans="1:1">
      <c r="A2989" s="9"/>
    </row>
    <row r="2990" spans="1:1">
      <c r="A2990" s="9"/>
    </row>
    <row r="2991" spans="1:1">
      <c r="A2991" s="9"/>
    </row>
    <row r="2992" spans="1:1">
      <c r="A2992" s="9"/>
    </row>
    <row r="2993" spans="1:1">
      <c r="A2993" s="9"/>
    </row>
    <row r="2994" spans="1:1">
      <c r="A2994" s="9"/>
    </row>
    <row r="2995" spans="1:1">
      <c r="A2995" s="9"/>
    </row>
    <row r="2996" spans="1:1">
      <c r="A2996" s="9"/>
    </row>
    <row r="2997" spans="1:1">
      <c r="A2997" s="9"/>
    </row>
    <row r="2998" spans="1:1">
      <c r="A2998" s="9"/>
    </row>
    <row r="2999" spans="1:1">
      <c r="A2999" s="9"/>
    </row>
    <row r="3000" spans="1:1">
      <c r="A3000" s="9"/>
    </row>
    <row r="3001" spans="1:1">
      <c r="A3001" s="9"/>
    </row>
    <row r="3002" spans="1:1">
      <c r="A3002" s="9"/>
    </row>
    <row r="3003" spans="1:1">
      <c r="A3003" s="9"/>
    </row>
    <row r="3004" spans="1:1">
      <c r="A3004" s="9"/>
    </row>
    <row r="3005" spans="1:1">
      <c r="A3005" s="9"/>
    </row>
    <row r="3006" spans="1:1">
      <c r="A3006" s="9"/>
    </row>
    <row r="3007" spans="1:1">
      <c r="A3007" s="9"/>
    </row>
    <row r="3008" spans="1:1">
      <c r="A3008" s="9"/>
    </row>
    <row r="3009" spans="1:1">
      <c r="A3009" s="9"/>
    </row>
    <row r="3010" spans="1:1">
      <c r="A3010" s="9"/>
    </row>
    <row r="3011" spans="1:1">
      <c r="A3011" s="9"/>
    </row>
    <row r="3012" spans="1:1">
      <c r="A3012" s="9"/>
    </row>
    <row r="3013" spans="1:1">
      <c r="A3013" s="9"/>
    </row>
    <row r="3014" spans="1:1">
      <c r="A3014" s="9"/>
    </row>
    <row r="3015" spans="1:1">
      <c r="A3015" s="9"/>
    </row>
    <row r="3016" spans="1:1">
      <c r="A3016" s="9"/>
    </row>
    <row r="3017" spans="1:1">
      <c r="A3017" s="9"/>
    </row>
    <row r="3018" spans="1:1">
      <c r="A3018" s="9"/>
    </row>
    <row r="3019" spans="1:1">
      <c r="A3019" s="9"/>
    </row>
    <row r="3020" spans="1:1">
      <c r="A3020" s="9"/>
    </row>
    <row r="3021" spans="1:1">
      <c r="A3021" s="9"/>
    </row>
    <row r="3022" spans="1:1">
      <c r="A3022" s="9"/>
    </row>
    <row r="3023" spans="1:1">
      <c r="A3023" s="9"/>
    </row>
    <row r="3024" spans="1:1">
      <c r="A3024" s="9"/>
    </row>
    <row r="3025" spans="1:1">
      <c r="A3025" s="9"/>
    </row>
    <row r="3026" spans="1:1">
      <c r="A3026" s="9"/>
    </row>
    <row r="3027" spans="1:1">
      <c r="A3027" s="9"/>
    </row>
    <row r="3028" spans="1:1">
      <c r="A3028" s="9"/>
    </row>
    <row r="3029" spans="1:1">
      <c r="A3029" s="9"/>
    </row>
    <row r="3030" spans="1:1">
      <c r="A3030" s="9"/>
    </row>
    <row r="3031" spans="1:1">
      <c r="A3031" s="9"/>
    </row>
    <row r="3032" spans="1:1">
      <c r="A3032" s="9"/>
    </row>
    <row r="3033" spans="1:1">
      <c r="A3033" s="9"/>
    </row>
    <row r="3034" spans="1:1">
      <c r="A3034" s="9"/>
    </row>
    <row r="3035" spans="1:1">
      <c r="A3035" s="9"/>
    </row>
    <row r="3036" spans="1:1">
      <c r="A3036" s="9"/>
    </row>
    <row r="3037" spans="1:1">
      <c r="A3037" s="9"/>
    </row>
    <row r="3038" spans="1:1">
      <c r="A3038" s="9"/>
    </row>
    <row r="3039" spans="1:1">
      <c r="A3039" s="9"/>
    </row>
    <row r="3040" spans="1:1">
      <c r="A3040" s="9"/>
    </row>
    <row r="3041" spans="1:1">
      <c r="A3041" s="9"/>
    </row>
    <row r="3042" spans="1:1">
      <c r="A3042" s="9"/>
    </row>
    <row r="3043" spans="1:1">
      <c r="A3043" s="9"/>
    </row>
    <row r="3044" spans="1:1">
      <c r="A3044" s="9"/>
    </row>
    <row r="3045" spans="1:1">
      <c r="A3045" s="9"/>
    </row>
    <row r="3046" spans="1:1">
      <c r="A3046" s="9"/>
    </row>
    <row r="3047" spans="1:1">
      <c r="A3047" s="9"/>
    </row>
    <row r="3048" spans="1:1">
      <c r="A3048" s="9"/>
    </row>
    <row r="3049" spans="1:1">
      <c r="A3049" s="9"/>
    </row>
    <row r="3050" spans="1:1">
      <c r="A3050" s="9"/>
    </row>
    <row r="3051" spans="1:1">
      <c r="A3051" s="9"/>
    </row>
    <row r="3052" spans="1:1">
      <c r="A3052" s="9"/>
    </row>
    <row r="3053" spans="1:1">
      <c r="A3053" s="9"/>
    </row>
    <row r="3054" spans="1:1">
      <c r="A3054" s="9"/>
    </row>
    <row r="3055" spans="1:1">
      <c r="A3055" s="9"/>
    </row>
    <row r="3056" spans="1:1">
      <c r="A3056" s="9"/>
    </row>
    <row r="3057" spans="1:1">
      <c r="A3057" s="9"/>
    </row>
    <row r="3058" spans="1:1">
      <c r="A3058" s="9"/>
    </row>
    <row r="3059" spans="1:1">
      <c r="A3059" s="9"/>
    </row>
    <row r="3060" spans="1:1">
      <c r="A3060" s="9"/>
    </row>
    <row r="3061" spans="1:1">
      <c r="A3061" s="9"/>
    </row>
    <row r="3062" spans="1:1">
      <c r="A3062" s="9"/>
    </row>
    <row r="3063" spans="1:1">
      <c r="A3063" s="9"/>
    </row>
    <row r="3064" spans="1:1">
      <c r="A3064" s="9"/>
    </row>
    <row r="3065" spans="1:1">
      <c r="A3065" s="9"/>
    </row>
    <row r="3066" spans="1:1">
      <c r="A3066" s="9"/>
    </row>
    <row r="3067" spans="1:1">
      <c r="A3067" s="9"/>
    </row>
    <row r="3068" spans="1:1">
      <c r="A3068" s="9"/>
    </row>
    <row r="3069" spans="1:1">
      <c r="A3069" s="9"/>
    </row>
    <row r="3070" spans="1:1">
      <c r="A3070" s="9"/>
    </row>
    <row r="3071" spans="1:1">
      <c r="A3071" s="9"/>
    </row>
    <row r="3072" spans="1:1">
      <c r="A3072" s="9"/>
    </row>
    <row r="3073" spans="1:1">
      <c r="A3073" s="9"/>
    </row>
    <row r="3074" spans="1:1">
      <c r="A3074" s="9"/>
    </row>
    <row r="3075" spans="1:1">
      <c r="A3075" s="9"/>
    </row>
    <row r="3076" spans="1:1">
      <c r="A3076" s="9"/>
    </row>
    <row r="3077" spans="1:1">
      <c r="A3077" s="9"/>
    </row>
    <row r="3078" spans="1:1">
      <c r="A3078" s="9"/>
    </row>
    <row r="3079" spans="1:1">
      <c r="A3079" s="9"/>
    </row>
    <row r="3080" spans="1:1">
      <c r="A3080" s="9"/>
    </row>
    <row r="3081" spans="1:1">
      <c r="A3081" s="9"/>
    </row>
    <row r="3082" spans="1:1">
      <c r="A3082" s="9"/>
    </row>
    <row r="3083" spans="1:1">
      <c r="A3083" s="9"/>
    </row>
    <row r="3084" spans="1:1">
      <c r="A3084" s="9"/>
    </row>
    <row r="3085" spans="1:1">
      <c r="A3085" s="9"/>
    </row>
    <row r="3086" spans="1:1">
      <c r="A3086" s="9"/>
    </row>
    <row r="3087" spans="1:1">
      <c r="A3087" s="9"/>
    </row>
    <row r="3088" spans="1:1">
      <c r="A3088" s="9"/>
    </row>
    <row r="3089" spans="1:1">
      <c r="A3089" s="9"/>
    </row>
    <row r="3090" spans="1:1">
      <c r="A3090" s="9"/>
    </row>
    <row r="3091" spans="1:1">
      <c r="A3091" s="9"/>
    </row>
    <row r="3092" spans="1:1">
      <c r="A3092" s="9"/>
    </row>
    <row r="3093" spans="1:1">
      <c r="A3093" s="9"/>
    </row>
    <row r="3094" spans="1:1">
      <c r="A3094" s="9"/>
    </row>
    <row r="3095" spans="1:1">
      <c r="A3095" s="9"/>
    </row>
    <row r="3096" spans="1:1">
      <c r="A3096" s="9"/>
    </row>
    <row r="3097" spans="1:1">
      <c r="A3097" s="9"/>
    </row>
    <row r="3098" spans="1:1">
      <c r="A3098" s="9"/>
    </row>
    <row r="3099" spans="1:1">
      <c r="A3099" s="9"/>
    </row>
    <row r="3100" spans="1:1">
      <c r="A3100" s="9"/>
    </row>
    <row r="3101" spans="1:1">
      <c r="A3101" s="9"/>
    </row>
    <row r="3102" spans="1:1">
      <c r="A3102" s="9"/>
    </row>
    <row r="3103" spans="1:1">
      <c r="A3103" s="9"/>
    </row>
    <row r="3104" spans="1:1">
      <c r="A3104" s="9"/>
    </row>
    <row r="3105" spans="1:1">
      <c r="A3105" s="9"/>
    </row>
    <row r="3106" spans="1:1">
      <c r="A3106" s="9"/>
    </row>
    <row r="3107" spans="1:1">
      <c r="A3107" s="9"/>
    </row>
    <row r="3108" spans="1:1">
      <c r="A3108" s="9"/>
    </row>
    <row r="3109" spans="1:1">
      <c r="A3109" s="9"/>
    </row>
    <row r="3110" spans="1:1">
      <c r="A3110" s="9"/>
    </row>
    <row r="3111" spans="1:1">
      <c r="A3111" s="9"/>
    </row>
    <row r="3112" spans="1:1">
      <c r="A3112" s="9"/>
    </row>
    <row r="3113" spans="1:1">
      <c r="A3113" s="9"/>
    </row>
    <row r="3114" spans="1:1">
      <c r="A3114" s="9"/>
    </row>
    <row r="3115" spans="1:1">
      <c r="A3115" s="9"/>
    </row>
    <row r="3116" spans="1:1">
      <c r="A3116" s="9"/>
    </row>
    <row r="3117" spans="1:1">
      <c r="A3117" s="9"/>
    </row>
    <row r="3118" spans="1:1">
      <c r="A3118" s="9"/>
    </row>
    <row r="3119" spans="1:1">
      <c r="A3119" s="9"/>
    </row>
    <row r="3120" spans="1:1">
      <c r="A3120" s="9"/>
    </row>
    <row r="3121" spans="1:1">
      <c r="A3121" s="9"/>
    </row>
    <row r="3122" spans="1:1">
      <c r="A3122" s="9"/>
    </row>
    <row r="3123" spans="1:1">
      <c r="A3123" s="9"/>
    </row>
    <row r="3124" spans="1:1">
      <c r="A3124" s="9"/>
    </row>
    <row r="3125" spans="1:1">
      <c r="A3125" s="9"/>
    </row>
    <row r="3126" spans="1:1">
      <c r="A3126" s="9"/>
    </row>
    <row r="3127" spans="1:1">
      <c r="A3127" s="9"/>
    </row>
    <row r="3128" spans="1:1">
      <c r="A3128" s="9"/>
    </row>
    <row r="3129" spans="1:1">
      <c r="A3129" s="9"/>
    </row>
    <row r="3130" spans="1:1">
      <c r="A3130" s="9"/>
    </row>
    <row r="3131" spans="1:1">
      <c r="A3131" s="9"/>
    </row>
    <row r="3132" spans="1:1">
      <c r="A3132" s="9"/>
    </row>
    <row r="3133" spans="1:1">
      <c r="A3133" s="9"/>
    </row>
    <row r="3134" spans="1:1">
      <c r="A3134" s="9"/>
    </row>
    <row r="3135" spans="1:1">
      <c r="A3135" s="9"/>
    </row>
    <row r="3136" spans="1:1">
      <c r="A3136" s="9"/>
    </row>
    <row r="3137" spans="1:1">
      <c r="A3137" s="9"/>
    </row>
    <row r="3138" spans="1:1">
      <c r="A3138" s="9"/>
    </row>
    <row r="3139" spans="1:1">
      <c r="A3139" s="9"/>
    </row>
    <row r="3140" spans="1:1">
      <c r="A3140" s="9"/>
    </row>
    <row r="3141" spans="1:1">
      <c r="A3141" s="9"/>
    </row>
    <row r="3142" spans="1:1">
      <c r="A3142" s="9"/>
    </row>
    <row r="3143" spans="1:1">
      <c r="A3143" s="9"/>
    </row>
    <row r="3144" spans="1:1">
      <c r="A3144" s="9"/>
    </row>
    <row r="3145" spans="1:1">
      <c r="A3145" s="9"/>
    </row>
    <row r="3146" spans="1:1">
      <c r="A3146" s="9"/>
    </row>
    <row r="3147" spans="1:1">
      <c r="A3147" s="9"/>
    </row>
    <row r="3148" spans="1:1">
      <c r="A3148" s="9"/>
    </row>
    <row r="3149" spans="1:1">
      <c r="A3149" s="9"/>
    </row>
    <row r="3150" spans="1:1">
      <c r="A3150" s="9"/>
    </row>
    <row r="3151" spans="1:1">
      <c r="A3151" s="9"/>
    </row>
    <row r="3152" spans="1:1">
      <c r="A3152" s="9"/>
    </row>
    <row r="3153" spans="1:1">
      <c r="A3153" s="9"/>
    </row>
    <row r="3154" spans="1:1">
      <c r="A3154" s="9"/>
    </row>
    <row r="3155" spans="1:1">
      <c r="A3155" s="9"/>
    </row>
    <row r="3156" spans="1:1">
      <c r="A3156" s="9"/>
    </row>
    <row r="3157" spans="1:1">
      <c r="A3157" s="9"/>
    </row>
    <row r="3158" spans="1:1">
      <c r="A3158" s="9"/>
    </row>
    <row r="3159" spans="1:1">
      <c r="A3159" s="9"/>
    </row>
    <row r="3160" spans="1:1">
      <c r="A3160" s="9"/>
    </row>
    <row r="3161" spans="1:1">
      <c r="A3161" s="9"/>
    </row>
    <row r="3162" spans="1:1">
      <c r="A3162" s="9"/>
    </row>
    <row r="3163" spans="1:1">
      <c r="A3163" s="9"/>
    </row>
    <row r="3164" spans="1:1">
      <c r="A3164" s="9"/>
    </row>
    <row r="3165" spans="1:1">
      <c r="A3165" s="9"/>
    </row>
    <row r="3166" spans="1:1">
      <c r="A3166" s="9"/>
    </row>
    <row r="3167" spans="1:1">
      <c r="A3167" s="9"/>
    </row>
    <row r="3168" spans="1:1">
      <c r="A3168" s="9"/>
    </row>
    <row r="3169" spans="1:1">
      <c r="A3169" s="9"/>
    </row>
    <row r="3170" spans="1:1">
      <c r="A3170" s="9"/>
    </row>
    <row r="3171" spans="1:1">
      <c r="A3171" s="9"/>
    </row>
    <row r="3172" spans="1:1">
      <c r="A3172" s="9"/>
    </row>
    <row r="3173" spans="1:1">
      <c r="A3173" s="9"/>
    </row>
    <row r="3174" spans="1:1">
      <c r="A3174" s="9"/>
    </row>
    <row r="3175" spans="1:1">
      <c r="A3175" s="9"/>
    </row>
    <row r="3176" spans="1:1">
      <c r="A3176" s="9"/>
    </row>
    <row r="3177" spans="1:1">
      <c r="A3177" s="9"/>
    </row>
    <row r="3178" spans="1:1">
      <c r="A3178" s="9"/>
    </row>
    <row r="3179" spans="1:1">
      <c r="A3179" s="9"/>
    </row>
    <row r="3180" spans="1:1">
      <c r="A3180" s="9"/>
    </row>
    <row r="3181" spans="1:1">
      <c r="A3181" s="9"/>
    </row>
    <row r="3182" spans="1:1">
      <c r="A3182" s="9"/>
    </row>
    <row r="3183" spans="1:1">
      <c r="A3183" s="9"/>
    </row>
    <row r="3184" spans="1:1">
      <c r="A3184" s="9"/>
    </row>
    <row r="3185" spans="1:1">
      <c r="A3185" s="9"/>
    </row>
    <row r="3186" spans="1:1">
      <c r="A3186" s="9"/>
    </row>
    <row r="3187" spans="1:1">
      <c r="A3187" s="9"/>
    </row>
    <row r="3188" spans="1:1">
      <c r="A3188" s="9"/>
    </row>
    <row r="3189" spans="1:1">
      <c r="A3189" s="9"/>
    </row>
    <row r="3190" spans="1:1">
      <c r="A3190" s="9"/>
    </row>
    <row r="3191" spans="1:1">
      <c r="A3191" s="9"/>
    </row>
    <row r="3192" spans="1:1">
      <c r="A3192" s="9"/>
    </row>
    <row r="3193" spans="1:1">
      <c r="A3193" s="9"/>
    </row>
    <row r="3194" spans="1:1">
      <c r="A3194" s="9"/>
    </row>
    <row r="3195" spans="1:1">
      <c r="A3195" s="9"/>
    </row>
    <row r="3196" spans="1:1">
      <c r="A3196" s="9"/>
    </row>
    <row r="3197" spans="1:1">
      <c r="A3197" s="9"/>
    </row>
    <row r="3198" spans="1:1">
      <c r="A3198" s="9"/>
    </row>
    <row r="3199" spans="1:1">
      <c r="A3199" s="9"/>
    </row>
    <row r="3200" spans="1:1">
      <c r="A3200" s="9"/>
    </row>
    <row r="3201" spans="1:1">
      <c r="A3201" s="9"/>
    </row>
    <row r="3202" spans="1:1">
      <c r="A3202" s="9"/>
    </row>
    <row r="3203" spans="1:1">
      <c r="A3203" s="9"/>
    </row>
    <row r="3204" spans="1:1">
      <c r="A3204" s="9"/>
    </row>
    <row r="3205" spans="1:1">
      <c r="A3205" s="9"/>
    </row>
    <row r="3206" spans="1:1">
      <c r="A3206" s="9"/>
    </row>
    <row r="3207" spans="1:1">
      <c r="A3207" s="9"/>
    </row>
    <row r="3208" spans="1:1">
      <c r="A3208" s="9"/>
    </row>
    <row r="3209" spans="1:1">
      <c r="A3209" s="9"/>
    </row>
    <row r="3210" spans="1:1">
      <c r="A3210" s="9"/>
    </row>
    <row r="3211" spans="1:1">
      <c r="A3211" s="9"/>
    </row>
    <row r="3212" spans="1:1">
      <c r="A3212" s="9"/>
    </row>
    <row r="3213" spans="1:1">
      <c r="A3213" s="9"/>
    </row>
    <row r="3214" spans="1:1">
      <c r="A3214" s="9"/>
    </row>
    <row r="3215" spans="1:1">
      <c r="A3215" s="9"/>
    </row>
    <row r="3216" spans="1:1">
      <c r="A3216" s="9"/>
    </row>
    <row r="3217" spans="1:1">
      <c r="A3217" s="9"/>
    </row>
    <row r="3218" spans="1:1">
      <c r="A3218" s="9"/>
    </row>
    <row r="3219" spans="1:1">
      <c r="A3219" s="9"/>
    </row>
    <row r="3220" spans="1:1">
      <c r="A3220" s="9"/>
    </row>
    <row r="3221" spans="1:1">
      <c r="A3221" s="9"/>
    </row>
    <row r="3222" spans="1:1">
      <c r="A3222" s="9"/>
    </row>
    <row r="3223" spans="1:1">
      <c r="A3223" s="9"/>
    </row>
    <row r="3224" spans="1:1">
      <c r="A3224" s="9"/>
    </row>
    <row r="3225" spans="1:1">
      <c r="A3225" s="9"/>
    </row>
    <row r="3226" spans="1:1">
      <c r="A3226" s="9"/>
    </row>
    <row r="3227" spans="1:1">
      <c r="A3227" s="9"/>
    </row>
    <row r="3228" spans="1:1">
      <c r="A3228" s="9"/>
    </row>
    <row r="3229" spans="1:1">
      <c r="A3229" s="9"/>
    </row>
    <row r="3230" spans="1:1">
      <c r="A3230" s="9"/>
    </row>
    <row r="3231" spans="1:1">
      <c r="A3231" s="9"/>
    </row>
    <row r="3232" spans="1:1">
      <c r="A3232" s="9"/>
    </row>
    <row r="3233" spans="1:1">
      <c r="A3233" s="9"/>
    </row>
    <row r="3234" spans="1:1">
      <c r="A3234" s="9"/>
    </row>
    <row r="3235" spans="1:1">
      <c r="A3235" s="9"/>
    </row>
    <row r="3236" spans="1:1">
      <c r="A3236" s="9"/>
    </row>
    <row r="3237" spans="1:1">
      <c r="A3237" s="9"/>
    </row>
    <row r="3238" spans="1:1">
      <c r="A3238" s="9"/>
    </row>
    <row r="3239" spans="1:1">
      <c r="A3239" s="9"/>
    </row>
    <row r="3240" spans="1:1">
      <c r="A3240" s="9"/>
    </row>
    <row r="3241" spans="1:1">
      <c r="A3241" s="9"/>
    </row>
    <row r="3242" spans="1:1">
      <c r="A3242" s="9"/>
    </row>
    <row r="3243" spans="1:1">
      <c r="A3243" s="9"/>
    </row>
    <row r="3244" spans="1:1">
      <c r="A3244" s="9"/>
    </row>
    <row r="3245" spans="1:1">
      <c r="A3245" s="9"/>
    </row>
    <row r="3246" spans="1:1">
      <c r="A3246" s="9"/>
    </row>
    <row r="3247" spans="1:1">
      <c r="A3247" s="9"/>
    </row>
    <row r="3248" spans="1:1">
      <c r="A3248" s="9"/>
    </row>
    <row r="3249" spans="1:1">
      <c r="A3249" s="9"/>
    </row>
    <row r="3250" spans="1:1">
      <c r="A3250" s="9"/>
    </row>
    <row r="3251" spans="1:1">
      <c r="A3251" s="9"/>
    </row>
    <row r="3252" spans="1:1">
      <c r="A3252" s="9"/>
    </row>
    <row r="3253" spans="1:1">
      <c r="A3253" s="9"/>
    </row>
    <row r="3254" spans="1:1">
      <c r="A3254" s="9"/>
    </row>
    <row r="3255" spans="1:1">
      <c r="A3255" s="9"/>
    </row>
    <row r="3256" spans="1:1">
      <c r="A3256" s="9"/>
    </row>
    <row r="3257" spans="1:1">
      <c r="A3257" s="9"/>
    </row>
    <row r="3258" spans="1:1">
      <c r="A3258" s="9"/>
    </row>
    <row r="3259" spans="1:1">
      <c r="A3259" s="9"/>
    </row>
    <row r="3260" spans="1:1">
      <c r="A3260" s="9"/>
    </row>
    <row r="3261" spans="1:1">
      <c r="A3261" s="9"/>
    </row>
    <row r="3262" spans="1:1">
      <c r="A3262" s="9"/>
    </row>
    <row r="3263" spans="1:1">
      <c r="A3263" s="9"/>
    </row>
    <row r="3264" spans="1:1">
      <c r="A3264" s="9"/>
    </row>
    <row r="3265" spans="1:1">
      <c r="A3265" s="9"/>
    </row>
    <row r="3266" spans="1:1">
      <c r="A3266" s="9"/>
    </row>
    <row r="3267" spans="1:1">
      <c r="A3267" s="9"/>
    </row>
    <row r="3268" spans="1:1">
      <c r="A3268" s="9"/>
    </row>
    <row r="3269" spans="1:1">
      <c r="A3269" s="9"/>
    </row>
    <row r="3270" spans="1:1">
      <c r="A3270" s="9"/>
    </row>
    <row r="3271" spans="1:1">
      <c r="A3271" s="9"/>
    </row>
    <row r="3272" spans="1:1">
      <c r="A3272" s="9"/>
    </row>
    <row r="3273" spans="1:1">
      <c r="A3273" s="9"/>
    </row>
    <row r="3274" spans="1:1">
      <c r="A3274" s="9"/>
    </row>
    <row r="3275" spans="1:1">
      <c r="A3275" s="9"/>
    </row>
    <row r="3276" spans="1:1">
      <c r="A3276" s="9"/>
    </row>
    <row r="3277" spans="1:1">
      <c r="A3277" s="9"/>
    </row>
    <row r="3278" spans="1:1">
      <c r="A3278" s="9"/>
    </row>
    <row r="3279" spans="1:1">
      <c r="A3279" s="9"/>
    </row>
    <row r="3280" spans="1:1">
      <c r="A3280" s="9"/>
    </row>
    <row r="3281" spans="1:1">
      <c r="A3281" s="9"/>
    </row>
    <row r="3282" spans="1:1">
      <c r="A3282" s="9"/>
    </row>
    <row r="3283" spans="1:1">
      <c r="A3283" s="9"/>
    </row>
    <row r="3284" spans="1:1">
      <c r="A3284" s="9"/>
    </row>
    <row r="3285" spans="1:1">
      <c r="A3285" s="9"/>
    </row>
    <row r="3286" spans="1:1">
      <c r="A3286" s="9"/>
    </row>
    <row r="3287" spans="1:1">
      <c r="A3287" s="9"/>
    </row>
    <row r="3288" spans="1:1">
      <c r="A3288" s="9"/>
    </row>
    <row r="3289" spans="1:1">
      <c r="A3289" s="9"/>
    </row>
    <row r="3290" spans="1:1">
      <c r="A3290" s="9"/>
    </row>
    <row r="3291" spans="1:1">
      <c r="A3291" s="9"/>
    </row>
    <row r="3292" spans="1:1">
      <c r="A3292" s="9"/>
    </row>
    <row r="3293" spans="1:1">
      <c r="A3293" s="9"/>
    </row>
    <row r="3294" spans="1:1">
      <c r="A3294" s="9"/>
    </row>
    <row r="3295" spans="1:1">
      <c r="A3295" s="9"/>
    </row>
    <row r="3296" spans="1:1">
      <c r="A3296" s="9"/>
    </row>
    <row r="3297" spans="1:1">
      <c r="A3297" s="9"/>
    </row>
    <row r="3298" spans="1:1">
      <c r="A3298" s="9"/>
    </row>
    <row r="3299" spans="1:1">
      <c r="A3299" s="9"/>
    </row>
    <row r="3300" spans="1:1">
      <c r="A3300" s="9"/>
    </row>
    <row r="3301" spans="1:1">
      <c r="A3301" s="9"/>
    </row>
    <row r="3302" spans="1:1">
      <c r="A3302" s="9"/>
    </row>
    <row r="3303" spans="1:1">
      <c r="A3303" s="9"/>
    </row>
    <row r="3304" spans="1:1">
      <c r="A3304" s="9"/>
    </row>
    <row r="3305" spans="1:1">
      <c r="A3305" s="9"/>
    </row>
    <row r="3306" spans="1:1">
      <c r="A3306" s="9"/>
    </row>
    <row r="3307" spans="1:1">
      <c r="A3307" s="9"/>
    </row>
    <row r="3308" spans="1:1">
      <c r="A3308" s="9"/>
    </row>
    <row r="3309" spans="1:1">
      <c r="A3309" s="9"/>
    </row>
    <row r="3310" spans="1:1">
      <c r="A3310" s="9"/>
    </row>
    <row r="3311" spans="1:1">
      <c r="A3311" s="9"/>
    </row>
    <row r="3312" spans="1:1">
      <c r="A3312" s="9"/>
    </row>
    <row r="3313" spans="1:1">
      <c r="A3313" s="9"/>
    </row>
    <row r="3314" spans="1:1">
      <c r="A3314" s="9"/>
    </row>
    <row r="3315" spans="1:1">
      <c r="A3315" s="9"/>
    </row>
    <row r="3316" spans="1:1">
      <c r="A3316" s="9"/>
    </row>
    <row r="3317" spans="1:1">
      <c r="A3317" s="9"/>
    </row>
    <row r="3318" spans="1:1">
      <c r="A3318" s="9"/>
    </row>
    <row r="3319" spans="1:1">
      <c r="A3319" s="9"/>
    </row>
    <row r="3320" spans="1:1">
      <c r="A3320" s="9"/>
    </row>
    <row r="3321" spans="1:1">
      <c r="A3321" s="9"/>
    </row>
    <row r="3322" spans="1:1">
      <c r="A3322" s="9"/>
    </row>
    <row r="3323" spans="1:1">
      <c r="A3323" s="9"/>
    </row>
    <row r="3324" spans="1:1">
      <c r="A3324" s="9"/>
    </row>
    <row r="3325" spans="1:1">
      <c r="A3325" s="9"/>
    </row>
    <row r="3326" spans="1:1">
      <c r="A3326" s="9"/>
    </row>
    <row r="3327" spans="1:1">
      <c r="A3327" s="9"/>
    </row>
    <row r="3328" spans="1:1">
      <c r="A3328" s="9"/>
    </row>
    <row r="3329" spans="1:1">
      <c r="A3329" s="9"/>
    </row>
    <row r="3330" spans="1:1">
      <c r="A3330" s="9"/>
    </row>
    <row r="3331" spans="1:1">
      <c r="A3331" s="9"/>
    </row>
    <row r="3332" spans="1:1">
      <c r="A3332" s="9"/>
    </row>
    <row r="3333" spans="1:1">
      <c r="A3333" s="9"/>
    </row>
    <row r="3334" spans="1:1">
      <c r="A3334" s="9"/>
    </row>
    <row r="3335" spans="1:1">
      <c r="A3335" s="9"/>
    </row>
    <row r="3336" spans="1:1">
      <c r="A3336" s="9"/>
    </row>
    <row r="3337" spans="1:1">
      <c r="A3337" s="9"/>
    </row>
    <row r="3338" spans="1:1">
      <c r="A3338" s="9"/>
    </row>
    <row r="3339" spans="1:1">
      <c r="A3339" s="9"/>
    </row>
    <row r="3340" spans="1:1">
      <c r="A3340" s="9"/>
    </row>
    <row r="3341" spans="1:1">
      <c r="A3341" s="9"/>
    </row>
    <row r="3342" spans="1:1">
      <c r="A3342" s="9"/>
    </row>
    <row r="3343" spans="1:1">
      <c r="A3343" s="9"/>
    </row>
    <row r="3344" spans="1:1">
      <c r="A3344" s="9"/>
    </row>
    <row r="3345" spans="1:1">
      <c r="A3345" s="9"/>
    </row>
    <row r="3346" spans="1:1">
      <c r="A3346" s="9"/>
    </row>
    <row r="3347" spans="1:1">
      <c r="A3347" s="9"/>
    </row>
    <row r="3348" spans="1:1">
      <c r="A3348" s="9"/>
    </row>
    <row r="3349" spans="1:1">
      <c r="A3349" s="9"/>
    </row>
    <row r="3350" spans="1:1">
      <c r="A3350" s="9"/>
    </row>
    <row r="3351" spans="1:1">
      <c r="A3351" s="9"/>
    </row>
    <row r="3352" spans="1:1">
      <c r="A3352" s="9"/>
    </row>
    <row r="3353" spans="1:1">
      <c r="A3353" s="9"/>
    </row>
    <row r="3354" spans="1:1">
      <c r="A3354" s="9"/>
    </row>
    <row r="3355" spans="1:1">
      <c r="A3355" s="9"/>
    </row>
    <row r="3356" spans="1:1">
      <c r="A3356" s="9"/>
    </row>
    <row r="3357" spans="1:1">
      <c r="A3357" s="9"/>
    </row>
    <row r="3358" spans="1:1">
      <c r="A3358" s="9"/>
    </row>
    <row r="3359" spans="1:1">
      <c r="A3359" s="9"/>
    </row>
    <row r="3360" spans="1:1">
      <c r="A3360" s="9"/>
    </row>
    <row r="3361" spans="1:1">
      <c r="A3361" s="9"/>
    </row>
    <row r="3362" spans="1:1">
      <c r="A3362" s="9"/>
    </row>
    <row r="3363" spans="1:1">
      <c r="A3363" s="9"/>
    </row>
    <row r="3364" spans="1:1">
      <c r="A3364" s="9"/>
    </row>
    <row r="3365" spans="1:1">
      <c r="A3365" s="9"/>
    </row>
    <row r="3366" spans="1:1">
      <c r="A3366" s="9"/>
    </row>
    <row r="3367" spans="1:1">
      <c r="A3367" s="9"/>
    </row>
    <row r="3368" spans="1:1">
      <c r="A3368" s="9"/>
    </row>
    <row r="3369" spans="1:1">
      <c r="A3369" s="9"/>
    </row>
    <row r="3370" spans="1:1">
      <c r="A3370" s="9"/>
    </row>
    <row r="3371" spans="1:1">
      <c r="A3371" s="9"/>
    </row>
    <row r="3372" spans="1:1">
      <c r="A3372" s="9"/>
    </row>
    <row r="3373" spans="1:1">
      <c r="A3373" s="9"/>
    </row>
    <row r="3374" spans="1:1">
      <c r="A3374" s="9"/>
    </row>
    <row r="3375" spans="1:1">
      <c r="A3375" s="9"/>
    </row>
    <row r="3376" spans="1:1">
      <c r="A3376" s="9"/>
    </row>
    <row r="3377" spans="1:1">
      <c r="A3377" s="9"/>
    </row>
    <row r="3378" spans="1:1">
      <c r="A3378" s="9"/>
    </row>
    <row r="3379" spans="1:1">
      <c r="A3379" s="9"/>
    </row>
    <row r="3380" spans="1:1">
      <c r="A3380" s="9"/>
    </row>
    <row r="3381" spans="1:1">
      <c r="A3381" s="9"/>
    </row>
    <row r="3382" spans="1:1">
      <c r="A3382" s="9"/>
    </row>
    <row r="3383" spans="1:1">
      <c r="A3383" s="9"/>
    </row>
    <row r="3384" spans="1:1">
      <c r="A3384" s="9"/>
    </row>
    <row r="3385" spans="1:1">
      <c r="A3385" s="9"/>
    </row>
    <row r="3386" spans="1:1">
      <c r="A3386" s="9"/>
    </row>
    <row r="3387" spans="1:1">
      <c r="A3387" s="9"/>
    </row>
    <row r="3388" spans="1:1">
      <c r="A3388" s="9"/>
    </row>
    <row r="3389" spans="1:1">
      <c r="A3389" s="9"/>
    </row>
    <row r="3390" spans="1:1">
      <c r="A3390" s="9"/>
    </row>
    <row r="3391" spans="1:1">
      <c r="A3391" s="9"/>
    </row>
    <row r="3392" spans="1:1">
      <c r="A3392" s="9"/>
    </row>
    <row r="3393" spans="1:1">
      <c r="A3393" s="9"/>
    </row>
    <row r="3394" spans="1:1">
      <c r="A3394" s="9"/>
    </row>
    <row r="3395" spans="1:1">
      <c r="A3395" s="9"/>
    </row>
    <row r="3396" spans="1:1">
      <c r="A3396" s="9"/>
    </row>
    <row r="3397" spans="1:1">
      <c r="A3397" s="9"/>
    </row>
    <row r="3398" spans="1:1">
      <c r="A3398" s="9"/>
    </row>
    <row r="3399" spans="1:1">
      <c r="A3399" s="9"/>
    </row>
    <row r="3400" spans="1:1">
      <c r="A3400" s="9"/>
    </row>
    <row r="3401" spans="1:1">
      <c r="A3401" s="9"/>
    </row>
    <row r="3402" spans="1:1">
      <c r="A3402" s="9"/>
    </row>
    <row r="3403" spans="1:1">
      <c r="A3403" s="9"/>
    </row>
    <row r="3404" spans="1:1">
      <c r="A3404" s="9"/>
    </row>
    <row r="3405" spans="1:1">
      <c r="A3405" s="9"/>
    </row>
    <row r="3406" spans="1:1">
      <c r="A3406" s="9"/>
    </row>
    <row r="3407" spans="1:1">
      <c r="A3407" s="9"/>
    </row>
    <row r="3408" spans="1:1">
      <c r="A3408" s="9"/>
    </row>
    <row r="3409" spans="1:1">
      <c r="A3409" s="9"/>
    </row>
    <row r="3410" spans="1:1">
      <c r="A3410" s="9"/>
    </row>
    <row r="3411" spans="1:1">
      <c r="A3411" s="9"/>
    </row>
    <row r="3412" spans="1:1">
      <c r="A3412" s="9"/>
    </row>
    <row r="3413" spans="1:1">
      <c r="A3413" s="9"/>
    </row>
    <row r="3414" spans="1:1">
      <c r="A3414" s="9"/>
    </row>
    <row r="3415" spans="1:1">
      <c r="A3415" s="9"/>
    </row>
    <row r="3416" spans="1:1">
      <c r="A3416" s="9"/>
    </row>
    <row r="3417" spans="1:1">
      <c r="A3417" s="9"/>
    </row>
    <row r="3418" spans="1:1">
      <c r="A3418" s="9"/>
    </row>
    <row r="3419" spans="1:1">
      <c r="A3419" s="9"/>
    </row>
    <row r="3420" spans="1:1">
      <c r="A3420" s="9"/>
    </row>
    <row r="3421" spans="1:1">
      <c r="A3421" s="9"/>
    </row>
    <row r="3422" spans="1:1">
      <c r="A3422" s="9"/>
    </row>
    <row r="3423" spans="1:1">
      <c r="A3423" s="9"/>
    </row>
    <row r="3424" spans="1:1">
      <c r="A3424" s="9"/>
    </row>
    <row r="3425" spans="1:1">
      <c r="A3425" s="9"/>
    </row>
    <row r="3426" spans="1:1">
      <c r="A3426" s="9"/>
    </row>
    <row r="3427" spans="1:1">
      <c r="A3427" s="9"/>
    </row>
    <row r="3428" spans="1:1">
      <c r="A3428" s="9"/>
    </row>
    <row r="3429" spans="1:1">
      <c r="A3429" s="9"/>
    </row>
    <row r="3430" spans="1:1">
      <c r="A3430" s="9"/>
    </row>
    <row r="3431" spans="1:1">
      <c r="A3431" s="9"/>
    </row>
    <row r="3432" spans="1:1">
      <c r="A3432" s="9"/>
    </row>
    <row r="3433" spans="1:1">
      <c r="A3433" s="9"/>
    </row>
    <row r="3434" spans="1:1">
      <c r="A3434" s="9"/>
    </row>
    <row r="3435" spans="1:1">
      <c r="A3435" s="9"/>
    </row>
    <row r="3436" spans="1:1">
      <c r="A3436" s="9"/>
    </row>
    <row r="3437" spans="1:1">
      <c r="A3437" s="9"/>
    </row>
    <row r="3438" spans="1:1">
      <c r="A3438" s="9"/>
    </row>
    <row r="3439" spans="1:1">
      <c r="A3439" s="9"/>
    </row>
    <row r="3440" spans="1:1">
      <c r="A3440" s="9"/>
    </row>
    <row r="3441" spans="1:1">
      <c r="A3441" s="9"/>
    </row>
    <row r="3442" spans="1:1">
      <c r="A3442" s="9"/>
    </row>
    <row r="3443" spans="1:1">
      <c r="A3443" s="9"/>
    </row>
    <row r="3444" spans="1:1">
      <c r="A3444" s="9"/>
    </row>
    <row r="3445" spans="1:1">
      <c r="A3445" s="9"/>
    </row>
    <row r="3446" spans="1:1">
      <c r="A3446" s="9"/>
    </row>
    <row r="3447" spans="1:1">
      <c r="A3447" s="9"/>
    </row>
    <row r="3448" spans="1:1">
      <c r="A3448" s="9"/>
    </row>
    <row r="3449" spans="1:1">
      <c r="A3449" s="9"/>
    </row>
    <row r="3450" spans="1:1">
      <c r="A3450" s="9"/>
    </row>
    <row r="3451" spans="1:1">
      <c r="A3451" s="9"/>
    </row>
    <row r="3452" spans="1:1">
      <c r="A3452" s="9"/>
    </row>
    <row r="3453" spans="1:1">
      <c r="A3453" s="9"/>
    </row>
    <row r="3454" spans="1:1">
      <c r="A3454" s="9"/>
    </row>
    <row r="3455" spans="1:1">
      <c r="A3455" s="9"/>
    </row>
    <row r="3456" spans="1:1">
      <c r="A3456" s="9"/>
    </row>
    <row r="3457" spans="1:1">
      <c r="A3457" s="9"/>
    </row>
    <row r="3458" spans="1:1">
      <c r="A3458" s="9"/>
    </row>
    <row r="3459" spans="1:1">
      <c r="A3459" s="9"/>
    </row>
    <row r="3460" spans="1:1">
      <c r="A3460" s="9"/>
    </row>
    <row r="3461" spans="1:1">
      <c r="A3461" s="9"/>
    </row>
    <row r="3462" spans="1:1">
      <c r="A3462" s="9"/>
    </row>
    <row r="3463" spans="1:1">
      <c r="A3463" s="9"/>
    </row>
    <row r="3464" spans="1:1">
      <c r="A3464" s="9"/>
    </row>
    <row r="3465" spans="1:1">
      <c r="A3465" s="9"/>
    </row>
    <row r="3466" spans="1:1">
      <c r="A3466" s="9"/>
    </row>
    <row r="3467" spans="1:1">
      <c r="A3467" s="9"/>
    </row>
    <row r="3468" spans="1:1">
      <c r="A3468" s="9"/>
    </row>
    <row r="3469" spans="1:1">
      <c r="A3469" s="9"/>
    </row>
    <row r="3470" spans="1:1">
      <c r="A3470" s="9"/>
    </row>
    <row r="3471" spans="1:1">
      <c r="A3471" s="9"/>
    </row>
    <row r="3472" spans="1:1">
      <c r="A3472" s="9"/>
    </row>
    <row r="3473" spans="1:1">
      <c r="A3473" s="9"/>
    </row>
    <row r="3474" spans="1:1">
      <c r="A3474" s="9"/>
    </row>
    <row r="3475" spans="1:1">
      <c r="A3475" s="9"/>
    </row>
    <row r="3476" spans="1:1">
      <c r="A3476" s="9"/>
    </row>
    <row r="3477" spans="1:1">
      <c r="A3477" s="9"/>
    </row>
    <row r="3478" spans="1:1">
      <c r="A3478" s="9"/>
    </row>
    <row r="3479" spans="1:1">
      <c r="A3479" s="9"/>
    </row>
    <row r="3480" spans="1:1">
      <c r="A3480" s="9"/>
    </row>
    <row r="3481" spans="1:1">
      <c r="A3481" s="9"/>
    </row>
    <row r="3482" spans="1:1">
      <c r="A3482" s="9"/>
    </row>
    <row r="3483" spans="1:1">
      <c r="A3483" s="9"/>
    </row>
    <row r="3484" spans="1:1">
      <c r="A3484" s="9"/>
    </row>
    <row r="3485" spans="1:1">
      <c r="A3485" s="9"/>
    </row>
    <row r="3486" spans="1:1">
      <c r="A3486" s="9"/>
    </row>
    <row r="3487" spans="1:1">
      <c r="A3487" s="9"/>
    </row>
    <row r="3488" spans="1:1">
      <c r="A3488" s="9"/>
    </row>
    <row r="3489" spans="1:1">
      <c r="A3489" s="9"/>
    </row>
    <row r="3490" spans="1:1">
      <c r="A3490" s="9"/>
    </row>
    <row r="3491" spans="1:1">
      <c r="A3491" s="9"/>
    </row>
    <row r="3492" spans="1:1">
      <c r="A3492" s="9"/>
    </row>
    <row r="3493" spans="1:1">
      <c r="A3493" s="9"/>
    </row>
    <row r="3494" spans="1:1">
      <c r="A3494" s="9"/>
    </row>
    <row r="3495" spans="1:1">
      <c r="A3495" s="9"/>
    </row>
    <row r="3496" spans="1:1">
      <c r="A3496" s="9"/>
    </row>
    <row r="3497" spans="1:1">
      <c r="A3497" s="9"/>
    </row>
    <row r="3498" spans="1:1">
      <c r="A3498" s="9"/>
    </row>
    <row r="3499" spans="1:1">
      <c r="A3499" s="9"/>
    </row>
    <row r="3500" spans="1:1">
      <c r="A3500" s="9"/>
    </row>
    <row r="3501" spans="1:1">
      <c r="A3501" s="9"/>
    </row>
    <row r="3502" spans="1:1">
      <c r="A3502" s="9"/>
    </row>
    <row r="3503" spans="1:1">
      <c r="A3503" s="9"/>
    </row>
    <row r="3504" spans="1:1">
      <c r="A3504" s="9"/>
    </row>
    <row r="3505" spans="1:1">
      <c r="A3505" s="9"/>
    </row>
    <row r="3506" spans="1:1">
      <c r="A3506" s="9"/>
    </row>
    <row r="3507" spans="1:1">
      <c r="A3507" s="9"/>
    </row>
    <row r="3508" spans="1:1">
      <c r="A3508" s="9"/>
    </row>
    <row r="3509" spans="1:1">
      <c r="A3509" s="9"/>
    </row>
    <row r="3510" spans="1:1">
      <c r="A3510" s="9"/>
    </row>
    <row r="3511" spans="1:1">
      <c r="A3511" s="9"/>
    </row>
    <row r="3512" spans="1:1">
      <c r="A3512" s="9"/>
    </row>
    <row r="3513" spans="1:1">
      <c r="A3513" s="9"/>
    </row>
    <row r="3514" spans="1:1">
      <c r="A3514" s="9"/>
    </row>
    <row r="3515" spans="1:1">
      <c r="A3515" s="9"/>
    </row>
    <row r="3516" spans="1:1">
      <c r="A3516" s="9"/>
    </row>
    <row r="3517" spans="1:1">
      <c r="A3517" s="9"/>
    </row>
    <row r="3518" spans="1:1">
      <c r="A3518" s="9"/>
    </row>
    <row r="3519" spans="1:1">
      <c r="A3519" s="9"/>
    </row>
    <row r="3520" spans="1:1">
      <c r="A3520" s="9"/>
    </row>
    <row r="3521" spans="1:1">
      <c r="A3521" s="9"/>
    </row>
    <row r="3522" spans="1:1">
      <c r="A3522" s="9"/>
    </row>
    <row r="3523" spans="1:1">
      <c r="A3523" s="9"/>
    </row>
    <row r="3524" spans="1:1">
      <c r="A3524" s="9"/>
    </row>
    <row r="3525" spans="1:1">
      <c r="A3525" s="9"/>
    </row>
    <row r="3526" spans="1:1">
      <c r="A3526" s="9"/>
    </row>
    <row r="3527" spans="1:1">
      <c r="A3527" s="9"/>
    </row>
    <row r="3528" spans="1:1">
      <c r="A3528" s="9"/>
    </row>
    <row r="3529" spans="1:1">
      <c r="A3529" s="9"/>
    </row>
    <row r="3530" spans="1:1">
      <c r="A3530" s="9"/>
    </row>
    <row r="3531" spans="1:1">
      <c r="A3531" s="9"/>
    </row>
    <row r="3532" spans="1:1">
      <c r="A3532" s="9"/>
    </row>
    <row r="3533" spans="1:1">
      <c r="A3533" s="9"/>
    </row>
    <row r="3534" spans="1:1">
      <c r="A3534" s="9"/>
    </row>
    <row r="3535" spans="1:1">
      <c r="A3535" s="9"/>
    </row>
    <row r="3536" spans="1:1">
      <c r="A3536" s="9"/>
    </row>
    <row r="3537" spans="1:1">
      <c r="A3537" s="9"/>
    </row>
    <row r="3538" spans="1:1">
      <c r="A3538" s="9"/>
    </row>
    <row r="3539" spans="1:1">
      <c r="A3539" s="9"/>
    </row>
    <row r="3540" spans="1:1">
      <c r="A3540" s="9"/>
    </row>
    <row r="3541" spans="1:1">
      <c r="A3541" s="9"/>
    </row>
    <row r="3542" spans="1:1">
      <c r="A3542" s="9"/>
    </row>
    <row r="3543" spans="1:1">
      <c r="A3543" s="9"/>
    </row>
    <row r="3544" spans="1:1">
      <c r="A3544" s="9"/>
    </row>
    <row r="3545" spans="1:1">
      <c r="A3545" s="9"/>
    </row>
    <row r="3546" spans="1:1">
      <c r="A3546" s="9"/>
    </row>
    <row r="3547" spans="1:1">
      <c r="A3547" s="9"/>
    </row>
    <row r="3548" spans="1:1">
      <c r="A3548" s="9"/>
    </row>
    <row r="3549" spans="1:1">
      <c r="A3549" s="9"/>
    </row>
    <row r="3550" spans="1:1">
      <c r="A3550" s="9"/>
    </row>
    <row r="3551" spans="1:1">
      <c r="A3551" s="9"/>
    </row>
    <row r="3552" spans="1:1">
      <c r="A3552" s="9"/>
    </row>
    <row r="3553" spans="1:1">
      <c r="A3553" s="9"/>
    </row>
    <row r="3554" spans="1:1">
      <c r="A3554" s="9"/>
    </row>
    <row r="3555" spans="1:1">
      <c r="A3555" s="9"/>
    </row>
    <row r="3556" spans="1:1">
      <c r="A3556" s="9"/>
    </row>
    <row r="3557" spans="1:1">
      <c r="A3557" s="9"/>
    </row>
    <row r="3558" spans="1:1">
      <c r="A3558" s="9"/>
    </row>
    <row r="3559" spans="1:1">
      <c r="A3559" s="9"/>
    </row>
    <row r="3560" spans="1:1">
      <c r="A3560" s="9"/>
    </row>
    <row r="3561" spans="1:1">
      <c r="A3561" s="9"/>
    </row>
    <row r="3562" spans="1:1">
      <c r="A3562" s="9"/>
    </row>
    <row r="3563" spans="1:1">
      <c r="A3563" s="9"/>
    </row>
    <row r="3564" spans="1:1">
      <c r="A3564" s="9"/>
    </row>
    <row r="3565" spans="1:1">
      <c r="A3565" s="9"/>
    </row>
    <row r="3566" spans="1:1">
      <c r="A3566" s="9"/>
    </row>
    <row r="3567" spans="1:1">
      <c r="A3567" s="9"/>
    </row>
    <row r="3568" spans="1:1">
      <c r="A3568" s="9"/>
    </row>
    <row r="3569" spans="1:1">
      <c r="A3569" s="9"/>
    </row>
    <row r="3570" spans="1:1">
      <c r="A3570" s="9"/>
    </row>
    <row r="3571" spans="1:1">
      <c r="A3571" s="9"/>
    </row>
    <row r="3572" spans="1:1">
      <c r="A3572" s="9"/>
    </row>
    <row r="3573" spans="1:1">
      <c r="A3573" s="9"/>
    </row>
    <row r="3574" spans="1:1">
      <c r="A3574" s="9"/>
    </row>
    <row r="3575" spans="1:1">
      <c r="A3575" s="9"/>
    </row>
    <row r="3576" spans="1:1">
      <c r="A3576" s="9"/>
    </row>
    <row r="3577" spans="1:1">
      <c r="A3577" s="9"/>
    </row>
    <row r="3578" spans="1:1">
      <c r="A3578" s="9"/>
    </row>
    <row r="3579" spans="1:1">
      <c r="A3579" s="9"/>
    </row>
    <row r="3580" spans="1:1">
      <c r="A3580" s="9"/>
    </row>
    <row r="3581" spans="1:1">
      <c r="A3581" s="9"/>
    </row>
    <row r="3582" spans="1:1">
      <c r="A3582" s="9"/>
    </row>
    <row r="3583" spans="1:1">
      <c r="A3583" s="9"/>
    </row>
    <row r="3584" spans="1:1">
      <c r="A3584" s="9"/>
    </row>
    <row r="3585" spans="1:1">
      <c r="A3585" s="9"/>
    </row>
    <row r="3586" spans="1:1">
      <c r="A3586" s="9"/>
    </row>
    <row r="3587" spans="1:1">
      <c r="A3587" s="9"/>
    </row>
    <row r="3588" spans="1:1">
      <c r="A3588" s="9"/>
    </row>
    <row r="3589" spans="1:1">
      <c r="A3589" s="9"/>
    </row>
    <row r="3590" spans="1:1">
      <c r="A3590" s="9"/>
    </row>
    <row r="3591" spans="1:1">
      <c r="A3591" s="9"/>
    </row>
    <row r="3592" spans="1:1">
      <c r="A3592" s="9"/>
    </row>
    <row r="3593" spans="1:1">
      <c r="A3593" s="9"/>
    </row>
    <row r="3594" spans="1:1">
      <c r="A3594" s="9"/>
    </row>
    <row r="3595" spans="1:1">
      <c r="A3595" s="9"/>
    </row>
    <row r="3596" spans="1:1">
      <c r="A3596" s="9"/>
    </row>
    <row r="3597" spans="1:1">
      <c r="A3597" s="9"/>
    </row>
    <row r="3598" spans="1:1">
      <c r="A3598" s="9"/>
    </row>
    <row r="3599" spans="1:1">
      <c r="A3599" s="9"/>
    </row>
    <row r="3600" spans="1:1">
      <c r="A3600" s="9"/>
    </row>
    <row r="3601" spans="1:1">
      <c r="A3601" s="9"/>
    </row>
    <row r="3602" spans="1:1">
      <c r="A3602" s="9"/>
    </row>
    <row r="3603" spans="1:1">
      <c r="A3603" s="9"/>
    </row>
    <row r="3604" spans="1:1">
      <c r="A3604" s="9"/>
    </row>
    <row r="3605" spans="1:1">
      <c r="A3605" s="9"/>
    </row>
    <row r="3606" spans="1:1">
      <c r="A3606" s="9"/>
    </row>
    <row r="3607" spans="1:1">
      <c r="A3607" s="9"/>
    </row>
    <row r="3608" spans="1:1">
      <c r="A3608" s="9"/>
    </row>
    <row r="3609" spans="1:1">
      <c r="A3609" s="9"/>
    </row>
    <row r="3610" spans="1:1">
      <c r="A3610" s="9"/>
    </row>
    <row r="3611" spans="1:1">
      <c r="A3611" s="9"/>
    </row>
    <row r="3612" spans="1:1">
      <c r="A3612" s="9"/>
    </row>
    <row r="3613" spans="1:1">
      <c r="A3613" s="9"/>
    </row>
    <row r="3614" spans="1:1">
      <c r="A3614" s="9"/>
    </row>
    <row r="3615" spans="1:1">
      <c r="A3615" s="9"/>
    </row>
    <row r="3616" spans="1:1">
      <c r="A3616" s="9"/>
    </row>
    <row r="3617" spans="1:1">
      <c r="A3617" s="9"/>
    </row>
    <row r="3618" spans="1:1">
      <c r="A3618" s="9"/>
    </row>
    <row r="3619" spans="1:1">
      <c r="A3619" s="9"/>
    </row>
    <row r="3620" spans="1:1">
      <c r="A3620" s="9"/>
    </row>
    <row r="3621" spans="1:1">
      <c r="A3621" s="9"/>
    </row>
    <row r="3622" spans="1:1">
      <c r="A3622" s="9"/>
    </row>
    <row r="3623" spans="1:1">
      <c r="A3623" s="9"/>
    </row>
    <row r="3624" spans="1:1">
      <c r="A3624" s="9"/>
    </row>
    <row r="3625" spans="1:1">
      <c r="A3625" s="9"/>
    </row>
    <row r="3626" spans="1:1">
      <c r="A3626" s="9"/>
    </row>
    <row r="3627" spans="1:1">
      <c r="A3627" s="9"/>
    </row>
    <row r="3628" spans="1:1">
      <c r="A3628" s="9"/>
    </row>
    <row r="3629" spans="1:1">
      <c r="A3629" s="9"/>
    </row>
    <row r="3630" spans="1:1">
      <c r="A3630" s="9"/>
    </row>
    <row r="3631" spans="1:1">
      <c r="A3631" s="9"/>
    </row>
    <row r="3632" spans="1:1">
      <c r="A3632" s="9"/>
    </row>
    <row r="3633" spans="1:1">
      <c r="A3633" s="9"/>
    </row>
    <row r="3634" spans="1:1">
      <c r="A3634" s="9"/>
    </row>
    <row r="3635" spans="1:1">
      <c r="A3635" s="9"/>
    </row>
    <row r="3636" spans="1:1">
      <c r="A3636" s="9"/>
    </row>
    <row r="3637" spans="1:1">
      <c r="A3637" s="9"/>
    </row>
    <row r="3638" spans="1:1">
      <c r="A3638" s="9"/>
    </row>
    <row r="3639" spans="1:1">
      <c r="A3639" s="9"/>
    </row>
    <row r="3640" spans="1:1">
      <c r="A3640" s="9"/>
    </row>
    <row r="3641" spans="1:1">
      <c r="A3641" s="9"/>
    </row>
    <row r="3642" spans="1:1">
      <c r="A3642" s="9"/>
    </row>
    <row r="3643" spans="1:1">
      <c r="A3643" s="9"/>
    </row>
    <row r="3644" spans="1:1">
      <c r="A3644" s="9"/>
    </row>
    <row r="3645" spans="1:1">
      <c r="A3645" s="9"/>
    </row>
    <row r="3646" spans="1:1">
      <c r="A3646" s="9"/>
    </row>
    <row r="3647" spans="1:1">
      <c r="A3647" s="9"/>
    </row>
    <row r="3648" spans="1:1">
      <c r="A3648" s="9"/>
    </row>
    <row r="3649" spans="1:1">
      <c r="A3649" s="9"/>
    </row>
    <row r="3650" spans="1:1">
      <c r="A3650" s="9"/>
    </row>
    <row r="3651" spans="1:1">
      <c r="A3651" s="9"/>
    </row>
    <row r="3652" spans="1:1">
      <c r="A3652" s="9"/>
    </row>
    <row r="3653" spans="1:1">
      <c r="A3653" s="9"/>
    </row>
    <row r="3654" spans="1:1">
      <c r="A3654" s="9"/>
    </row>
    <row r="3655" spans="1:1">
      <c r="A3655" s="9"/>
    </row>
    <row r="3656" spans="1:1">
      <c r="A3656" s="9"/>
    </row>
    <row r="3657" spans="1:1">
      <c r="A3657" s="9"/>
    </row>
    <row r="3658" spans="1:1">
      <c r="A3658" s="9"/>
    </row>
    <row r="3659" spans="1:1">
      <c r="A3659" s="9"/>
    </row>
    <row r="3660" spans="1:1">
      <c r="A3660" s="9"/>
    </row>
    <row r="3661" spans="1:1">
      <c r="A3661" s="9"/>
    </row>
    <row r="3662" spans="1:1">
      <c r="A3662" s="9"/>
    </row>
    <row r="3663" spans="1:1">
      <c r="A3663" s="9"/>
    </row>
    <row r="3664" spans="1:1">
      <c r="A3664" s="9"/>
    </row>
    <row r="3665" spans="1:1">
      <c r="A3665" s="9"/>
    </row>
    <row r="3666" spans="1:1">
      <c r="A3666" s="9"/>
    </row>
    <row r="3667" spans="1:1">
      <c r="A3667" s="9"/>
    </row>
    <row r="3668" spans="1:1">
      <c r="A3668" s="9"/>
    </row>
    <row r="3669" spans="1:1">
      <c r="A3669" s="9"/>
    </row>
    <row r="3670" spans="1:1">
      <c r="A3670" s="9"/>
    </row>
    <row r="3671" spans="1:1">
      <c r="A3671" s="9"/>
    </row>
    <row r="3672" spans="1:1">
      <c r="A3672" s="9"/>
    </row>
    <row r="3673" spans="1:1">
      <c r="A3673" s="9"/>
    </row>
    <row r="3674" spans="1:1">
      <c r="A3674" s="9"/>
    </row>
    <row r="3675" spans="1:1">
      <c r="A3675" s="9"/>
    </row>
    <row r="3676" spans="1:1">
      <c r="A3676" s="9"/>
    </row>
    <row r="3677" spans="1:1">
      <c r="A3677" s="9"/>
    </row>
    <row r="3678" spans="1:1">
      <c r="A3678" s="9"/>
    </row>
    <row r="3679" spans="1:1">
      <c r="A3679" s="9"/>
    </row>
    <row r="3680" spans="1:1">
      <c r="A3680" s="9"/>
    </row>
    <row r="3681" spans="1:1">
      <c r="A3681" s="9"/>
    </row>
    <row r="3682" spans="1:1">
      <c r="A3682" s="9"/>
    </row>
    <row r="3683" spans="1:1">
      <c r="A3683" s="9"/>
    </row>
    <row r="3684" spans="1:1">
      <c r="A3684" s="9"/>
    </row>
    <row r="3685" spans="1:1">
      <c r="A3685" s="9"/>
    </row>
    <row r="3686" spans="1:1">
      <c r="A3686" s="9"/>
    </row>
    <row r="3687" spans="1:1">
      <c r="A3687" s="9"/>
    </row>
    <row r="3688" spans="1:1">
      <c r="A3688" s="9"/>
    </row>
    <row r="3689" spans="1:1">
      <c r="A3689" s="9"/>
    </row>
    <row r="3690" spans="1:1">
      <c r="A3690" s="9"/>
    </row>
    <row r="3691" spans="1:1">
      <c r="A3691" s="9"/>
    </row>
    <row r="3692" spans="1:1">
      <c r="A3692" s="9"/>
    </row>
    <row r="3693" spans="1:1">
      <c r="A3693" s="9"/>
    </row>
    <row r="3694" spans="1:1">
      <c r="A3694" s="9"/>
    </row>
    <row r="3695" spans="1:1">
      <c r="A3695" s="9"/>
    </row>
    <row r="3696" spans="1:1">
      <c r="A3696" s="9"/>
    </row>
    <row r="3697" spans="1:1">
      <c r="A3697" s="9"/>
    </row>
    <row r="3698" spans="1:1">
      <c r="A3698" s="9"/>
    </row>
    <row r="3699" spans="1:1">
      <c r="A3699" s="9"/>
    </row>
    <row r="3700" spans="1:1">
      <c r="A3700" s="9"/>
    </row>
    <row r="3701" spans="1:1">
      <c r="A3701" s="9"/>
    </row>
    <row r="3702" spans="1:1">
      <c r="A3702" s="9"/>
    </row>
    <row r="3703" spans="1:1">
      <c r="A3703" s="9"/>
    </row>
    <row r="3704" spans="1:1">
      <c r="A3704" s="9"/>
    </row>
    <row r="3705" spans="1:1">
      <c r="A3705" s="9"/>
    </row>
    <row r="3706" spans="1:1">
      <c r="A3706" s="9"/>
    </row>
    <row r="3707" spans="1:1">
      <c r="A3707" s="9"/>
    </row>
    <row r="3708" spans="1:1">
      <c r="A3708" s="9"/>
    </row>
    <row r="3709" spans="1:1">
      <c r="A3709" s="9"/>
    </row>
    <row r="3710" spans="1:1">
      <c r="A3710" s="9"/>
    </row>
    <row r="3711" spans="1:1">
      <c r="A3711" s="9"/>
    </row>
    <row r="3712" spans="1:1">
      <c r="A3712" s="9"/>
    </row>
    <row r="3713" spans="1:1">
      <c r="A3713" s="9"/>
    </row>
    <row r="3714" spans="1:1">
      <c r="A3714" s="9"/>
    </row>
    <row r="3715" spans="1:1">
      <c r="A3715" s="9"/>
    </row>
    <row r="3716" spans="1:1">
      <c r="A3716" s="9"/>
    </row>
    <row r="3717" spans="1:1">
      <c r="A3717" s="9"/>
    </row>
    <row r="3718" spans="1:1">
      <c r="A3718" s="9"/>
    </row>
    <row r="3719" spans="1:1">
      <c r="A3719" s="9"/>
    </row>
    <row r="3720" spans="1:1">
      <c r="A3720" s="9"/>
    </row>
    <row r="3721" spans="1:1">
      <c r="A3721" s="9"/>
    </row>
    <row r="3722" spans="1:1">
      <c r="A3722" s="9"/>
    </row>
    <row r="3723" spans="1:1">
      <c r="A3723" s="9"/>
    </row>
    <row r="3724" spans="1:1">
      <c r="A3724" s="9"/>
    </row>
    <row r="3725" spans="1:1">
      <c r="A3725" s="9"/>
    </row>
    <row r="3726" spans="1:1">
      <c r="A3726" s="9"/>
    </row>
    <row r="3727" spans="1:1">
      <c r="A3727" s="9"/>
    </row>
    <row r="3728" spans="1:1">
      <c r="A3728" s="9"/>
    </row>
    <row r="3729" spans="1:1">
      <c r="A3729" s="9"/>
    </row>
    <row r="3730" spans="1:1">
      <c r="A3730" s="9"/>
    </row>
    <row r="3731" spans="1:1">
      <c r="A3731" s="9"/>
    </row>
    <row r="3732" spans="1:1">
      <c r="A3732" s="9"/>
    </row>
    <row r="3733" spans="1:1">
      <c r="A3733" s="9"/>
    </row>
    <row r="3734" spans="1:1">
      <c r="A3734" s="9"/>
    </row>
    <row r="3735" spans="1:1">
      <c r="A3735" s="9"/>
    </row>
    <row r="3736" spans="1:1">
      <c r="A3736" s="9"/>
    </row>
    <row r="3737" spans="1:1">
      <c r="A3737" s="9"/>
    </row>
    <row r="3738" spans="1:1">
      <c r="A3738" s="9"/>
    </row>
    <row r="3739" spans="1:1">
      <c r="A3739" s="9"/>
    </row>
    <row r="3740" spans="1:1">
      <c r="A3740" s="9"/>
    </row>
    <row r="3741" spans="1:1">
      <c r="A3741" s="9"/>
    </row>
    <row r="3742" spans="1:1">
      <c r="A3742" s="9"/>
    </row>
    <row r="3743" spans="1:1">
      <c r="A3743" s="9"/>
    </row>
    <row r="3744" spans="1:1">
      <c r="A3744" s="9"/>
    </row>
    <row r="3745" spans="1:1">
      <c r="A3745" s="9"/>
    </row>
    <row r="3746" spans="1:1">
      <c r="A3746" s="9"/>
    </row>
    <row r="3747" spans="1:1">
      <c r="A3747" s="9"/>
    </row>
    <row r="3748" spans="1:1">
      <c r="A3748" s="9"/>
    </row>
    <row r="3749" spans="1:1">
      <c r="A3749" s="9"/>
    </row>
    <row r="3750" spans="1:1">
      <c r="A3750" s="9"/>
    </row>
    <row r="3751" spans="1:1">
      <c r="A3751" s="9"/>
    </row>
    <row r="3752" spans="1:1">
      <c r="A3752" s="9"/>
    </row>
    <row r="3753" spans="1:1">
      <c r="A3753" s="9"/>
    </row>
    <row r="3754" spans="1:1">
      <c r="A3754" s="9"/>
    </row>
    <row r="3755" spans="1:1">
      <c r="A3755" s="9"/>
    </row>
    <row r="3756" spans="1:1">
      <c r="A3756" s="9"/>
    </row>
    <row r="3757" spans="1:1">
      <c r="A3757" s="9"/>
    </row>
    <row r="3758" spans="1:1">
      <c r="A3758" s="9"/>
    </row>
    <row r="3759" spans="1:1">
      <c r="A3759" s="9"/>
    </row>
    <row r="3760" spans="1:1">
      <c r="A3760" s="9"/>
    </row>
    <row r="3761" spans="1:1">
      <c r="A3761" s="9"/>
    </row>
    <row r="3762" spans="1:1">
      <c r="A3762" s="9"/>
    </row>
    <row r="3763" spans="1:1">
      <c r="A3763" s="9"/>
    </row>
    <row r="3764" spans="1:1">
      <c r="A3764" s="9"/>
    </row>
    <row r="3765" spans="1:1">
      <c r="A3765" s="9"/>
    </row>
    <row r="3766" spans="1:1">
      <c r="A3766" s="9"/>
    </row>
    <row r="3767" spans="1:1">
      <c r="A3767" s="9"/>
    </row>
    <row r="3768" spans="1:1">
      <c r="A3768" s="9"/>
    </row>
    <row r="3769" spans="1:1">
      <c r="A3769" s="9"/>
    </row>
    <row r="3770" spans="1:1">
      <c r="A3770" s="9"/>
    </row>
    <row r="3771" spans="1:1">
      <c r="A3771" s="9"/>
    </row>
    <row r="3772" spans="1:1">
      <c r="A3772" s="9"/>
    </row>
    <row r="3773" spans="1:1">
      <c r="A3773" s="9"/>
    </row>
    <row r="3774" spans="1:1">
      <c r="A3774" s="9"/>
    </row>
    <row r="3775" spans="1:1">
      <c r="A3775" s="9"/>
    </row>
    <row r="3776" spans="1:1">
      <c r="A3776" s="9"/>
    </row>
    <row r="3777" spans="1:1">
      <c r="A3777" s="9"/>
    </row>
    <row r="3778" spans="1:1">
      <c r="A3778" s="9"/>
    </row>
    <row r="3779" spans="1:1">
      <c r="A3779" s="9"/>
    </row>
    <row r="3780" spans="1:1">
      <c r="A3780" s="9"/>
    </row>
    <row r="3781" spans="1:1">
      <c r="A3781" s="9"/>
    </row>
    <row r="3782" spans="1:1">
      <c r="A3782" s="9"/>
    </row>
    <row r="3783" spans="1:1">
      <c r="A3783" s="9"/>
    </row>
    <row r="3784" spans="1:1">
      <c r="A3784" s="9"/>
    </row>
    <row r="3785" spans="1:1">
      <c r="A3785" s="9"/>
    </row>
    <row r="3786" spans="1:1">
      <c r="A3786" s="9"/>
    </row>
    <row r="3787" spans="1:1">
      <c r="A3787" s="9"/>
    </row>
    <row r="3788" spans="1:1">
      <c r="A3788" s="9"/>
    </row>
    <row r="3789" spans="1:1">
      <c r="A3789" s="9"/>
    </row>
    <row r="3790" spans="1:1">
      <c r="A3790" s="9"/>
    </row>
    <row r="3791" spans="1:1">
      <c r="A3791" s="9"/>
    </row>
    <row r="3792" spans="1:1">
      <c r="A3792" s="9"/>
    </row>
    <row r="3793" spans="1:1">
      <c r="A3793" s="9"/>
    </row>
    <row r="3794" spans="1:1">
      <c r="A3794" s="9"/>
    </row>
    <row r="3795" spans="1:1">
      <c r="A3795" s="9"/>
    </row>
    <row r="3796" spans="1:1">
      <c r="A3796" s="9"/>
    </row>
    <row r="3797" spans="1:1">
      <c r="A3797" s="9"/>
    </row>
    <row r="3798" spans="1:1">
      <c r="A3798" s="9"/>
    </row>
    <row r="3799" spans="1:1">
      <c r="A3799" s="9"/>
    </row>
    <row r="3800" spans="1:1">
      <c r="A3800" s="9"/>
    </row>
    <row r="3801" spans="1:1">
      <c r="A3801" s="9"/>
    </row>
    <row r="3802" spans="1:1">
      <c r="A3802" s="9"/>
    </row>
    <row r="3803" spans="1:1">
      <c r="A3803" s="9"/>
    </row>
    <row r="3804" spans="1:1">
      <c r="A3804" s="9"/>
    </row>
    <row r="3805" spans="1:1">
      <c r="A3805" s="9"/>
    </row>
    <row r="3806" spans="1:1">
      <c r="A3806" s="9"/>
    </row>
    <row r="3807" spans="1:1">
      <c r="A3807" s="9"/>
    </row>
    <row r="3808" spans="1:1">
      <c r="A3808" s="9"/>
    </row>
    <row r="3809" spans="1:1">
      <c r="A3809" s="9"/>
    </row>
    <row r="3810" spans="1:1">
      <c r="A3810" s="9"/>
    </row>
    <row r="3811" spans="1:1">
      <c r="A3811" s="9"/>
    </row>
    <row r="3812" spans="1:1">
      <c r="A3812" s="9"/>
    </row>
    <row r="3813" spans="1:1">
      <c r="A3813" s="9"/>
    </row>
    <row r="3814" spans="1:1">
      <c r="A3814" s="9"/>
    </row>
    <row r="3815" spans="1:1">
      <c r="A3815" s="9"/>
    </row>
    <row r="3816" spans="1:1">
      <c r="A3816" s="9"/>
    </row>
    <row r="3817" spans="1:1">
      <c r="A3817" s="9"/>
    </row>
    <row r="3818" spans="1:1">
      <c r="A3818" s="9"/>
    </row>
    <row r="3819" spans="1:1">
      <c r="A3819" s="9"/>
    </row>
    <row r="3820" spans="1:1">
      <c r="A3820" s="9"/>
    </row>
    <row r="3821" spans="1:1">
      <c r="A3821" s="9"/>
    </row>
    <row r="3822" spans="1:1">
      <c r="A3822" s="9"/>
    </row>
    <row r="3823" spans="1:1">
      <c r="A3823" s="9"/>
    </row>
    <row r="3824" spans="1:1">
      <c r="A3824" s="9"/>
    </row>
    <row r="3825" spans="1:1">
      <c r="A3825" s="9"/>
    </row>
    <row r="3826" spans="1:1">
      <c r="A3826" s="9"/>
    </row>
    <row r="3827" spans="1:1">
      <c r="A3827" s="9"/>
    </row>
    <row r="3828" spans="1:1">
      <c r="A3828" s="9"/>
    </row>
    <row r="3829" spans="1:1">
      <c r="A3829" s="9"/>
    </row>
    <row r="3830" spans="1:1">
      <c r="A3830" s="9"/>
    </row>
    <row r="3831" spans="1:1">
      <c r="A3831" s="9"/>
    </row>
    <row r="3832" spans="1:1">
      <c r="A3832" s="9"/>
    </row>
    <row r="3833" spans="1:1">
      <c r="A3833" s="9"/>
    </row>
    <row r="3834" spans="1:1">
      <c r="A3834" s="9"/>
    </row>
    <row r="3835" spans="1:1">
      <c r="A3835" s="9"/>
    </row>
    <row r="3836" spans="1:1">
      <c r="A3836" s="9"/>
    </row>
    <row r="3837" spans="1:1">
      <c r="A3837" s="9"/>
    </row>
    <row r="3838" spans="1:1">
      <c r="A3838" s="9"/>
    </row>
    <row r="3839" spans="1:1">
      <c r="A3839" s="9"/>
    </row>
    <row r="3840" spans="1:1">
      <c r="A3840" s="9"/>
    </row>
    <row r="3841" spans="1:1">
      <c r="A3841" s="9"/>
    </row>
    <row r="3842" spans="1:1">
      <c r="A3842" s="9"/>
    </row>
    <row r="3843" spans="1:1">
      <c r="A3843" s="9"/>
    </row>
    <row r="3844" spans="1:1">
      <c r="A3844" s="9"/>
    </row>
    <row r="3845" spans="1:1">
      <c r="A3845" s="9"/>
    </row>
    <row r="3846" spans="1:1">
      <c r="A3846" s="9"/>
    </row>
    <row r="3847" spans="1:1">
      <c r="A3847" s="9"/>
    </row>
    <row r="3848" spans="1:1">
      <c r="A3848" s="9"/>
    </row>
    <row r="3849" spans="1:1">
      <c r="A3849" s="9"/>
    </row>
    <row r="3850" spans="1:1">
      <c r="A3850" s="9"/>
    </row>
    <row r="3851" spans="1:1">
      <c r="A3851" s="9"/>
    </row>
    <row r="3852" spans="1:1">
      <c r="A3852" s="9"/>
    </row>
    <row r="3853" spans="1:1">
      <c r="A3853" s="9"/>
    </row>
    <row r="3854" spans="1:1">
      <c r="A3854" s="9"/>
    </row>
    <row r="3855" spans="1:1">
      <c r="A3855" s="9"/>
    </row>
    <row r="3856" spans="1:1">
      <c r="A3856" s="9"/>
    </row>
    <row r="3857" spans="1:1">
      <c r="A3857" s="9"/>
    </row>
    <row r="3858" spans="1:1">
      <c r="A3858" s="9"/>
    </row>
    <row r="3859" spans="1:1">
      <c r="A3859" s="9"/>
    </row>
    <row r="3860" spans="1:1">
      <c r="A3860" s="9"/>
    </row>
    <row r="3861" spans="1:1">
      <c r="A3861" s="9"/>
    </row>
    <row r="3862" spans="1:1">
      <c r="A3862" s="9"/>
    </row>
    <row r="3863" spans="1:1">
      <c r="A3863" s="9"/>
    </row>
    <row r="3864" spans="1:1">
      <c r="A3864" s="9"/>
    </row>
    <row r="3865" spans="1:1">
      <c r="A3865" s="9"/>
    </row>
    <row r="3866" spans="1:1">
      <c r="A3866" s="9"/>
    </row>
    <row r="3867" spans="1:1">
      <c r="A3867" s="9"/>
    </row>
    <row r="3868" spans="1:1">
      <c r="A3868" s="9"/>
    </row>
    <row r="3869" spans="1:1">
      <c r="A3869" s="9"/>
    </row>
    <row r="3870" spans="1:1">
      <c r="A3870" s="9"/>
    </row>
    <row r="3871" spans="1:1">
      <c r="A3871" s="9"/>
    </row>
    <row r="3872" spans="1:1">
      <c r="A3872" s="9"/>
    </row>
    <row r="3873" spans="1:1">
      <c r="A3873" s="9"/>
    </row>
    <row r="3874" spans="1:1">
      <c r="A3874" s="9"/>
    </row>
    <row r="3875" spans="1:1">
      <c r="A3875" s="9"/>
    </row>
    <row r="3876" spans="1:1">
      <c r="A3876" s="9"/>
    </row>
    <row r="3877" spans="1:1">
      <c r="A3877" s="9"/>
    </row>
    <row r="3878" spans="1:1">
      <c r="A3878" s="9"/>
    </row>
    <row r="3879" spans="1:1">
      <c r="A3879" s="9"/>
    </row>
    <row r="3880" spans="1:1">
      <c r="A3880" s="9"/>
    </row>
    <row r="3881" spans="1:1">
      <c r="A3881" s="9"/>
    </row>
    <row r="3882" spans="1:1">
      <c r="A3882" s="9"/>
    </row>
    <row r="3883" spans="1:1">
      <c r="A3883" s="9"/>
    </row>
    <row r="3884" spans="1:1">
      <c r="A3884" s="9"/>
    </row>
    <row r="3885" spans="1:1">
      <c r="A3885" s="9"/>
    </row>
    <row r="3886" spans="1:1">
      <c r="A3886" s="9"/>
    </row>
    <row r="3887" spans="1:1">
      <c r="A3887" s="9"/>
    </row>
    <row r="3888" spans="1:1">
      <c r="A3888" s="9"/>
    </row>
    <row r="3889" spans="1:1">
      <c r="A3889" s="9"/>
    </row>
    <row r="3890" spans="1:1">
      <c r="A3890" s="9"/>
    </row>
    <row r="3891" spans="1:1">
      <c r="A3891" s="9"/>
    </row>
    <row r="3892" spans="1:1">
      <c r="A3892" s="9"/>
    </row>
    <row r="3893" spans="1:1">
      <c r="A3893" s="9"/>
    </row>
    <row r="3894" spans="1:1">
      <c r="A3894" s="9"/>
    </row>
    <row r="3895" spans="1:1">
      <c r="A3895" s="9"/>
    </row>
    <row r="3896" spans="1:1">
      <c r="A3896" s="9"/>
    </row>
    <row r="3897" spans="1:1">
      <c r="A3897" s="9"/>
    </row>
    <row r="3898" spans="1:1">
      <c r="A3898" s="9"/>
    </row>
    <row r="3899" spans="1:1">
      <c r="A3899" s="9"/>
    </row>
    <row r="3900" spans="1:1">
      <c r="A3900" s="9"/>
    </row>
    <row r="3901" spans="1:1">
      <c r="A3901" s="9"/>
    </row>
    <row r="3902" spans="1:1">
      <c r="A3902" s="9"/>
    </row>
    <row r="3903" spans="1:1">
      <c r="A3903" s="9"/>
    </row>
    <row r="3904" spans="1:1">
      <c r="A3904" s="9"/>
    </row>
    <row r="3905" spans="1:1">
      <c r="A3905" s="9"/>
    </row>
    <row r="3906" spans="1:1">
      <c r="A3906" s="9"/>
    </row>
    <row r="3907" spans="1:1">
      <c r="A3907" s="9"/>
    </row>
    <row r="3908" spans="1:1">
      <c r="A3908" s="9"/>
    </row>
    <row r="3909" spans="1:1">
      <c r="A3909" s="9"/>
    </row>
    <row r="3910" spans="1:1">
      <c r="A3910" s="9"/>
    </row>
    <row r="3911" spans="1:1">
      <c r="A3911" s="9"/>
    </row>
    <row r="3912" spans="1:1">
      <c r="A3912" s="9"/>
    </row>
    <row r="3913" spans="1:1">
      <c r="A3913" s="9"/>
    </row>
    <row r="3914" spans="1:1">
      <c r="A3914" s="9"/>
    </row>
    <row r="3915" spans="1:1">
      <c r="A3915" s="9"/>
    </row>
    <row r="3916" spans="1:1">
      <c r="A3916" s="9"/>
    </row>
    <row r="3917" spans="1:1">
      <c r="A3917" s="9"/>
    </row>
    <row r="3918" spans="1:1">
      <c r="A3918" s="9"/>
    </row>
    <row r="3919" spans="1:1">
      <c r="A3919" s="9"/>
    </row>
    <row r="3920" spans="1:1">
      <c r="A3920" s="9"/>
    </row>
    <row r="3921" spans="1:1">
      <c r="A3921" s="9"/>
    </row>
    <row r="3922" spans="1:1">
      <c r="A3922" s="9"/>
    </row>
    <row r="3923" spans="1:1">
      <c r="A3923" s="9"/>
    </row>
    <row r="3924" spans="1:1">
      <c r="A3924" s="9"/>
    </row>
    <row r="3925" spans="1:1">
      <c r="A3925" s="9"/>
    </row>
    <row r="3926" spans="1:1">
      <c r="A3926" s="9"/>
    </row>
    <row r="3927" spans="1:1">
      <c r="A3927" s="9"/>
    </row>
    <row r="3928" spans="1:1">
      <c r="A3928" s="9"/>
    </row>
    <row r="3929" spans="1:1">
      <c r="A3929" s="9"/>
    </row>
    <row r="3930" spans="1:1">
      <c r="A3930" s="9"/>
    </row>
    <row r="3931" spans="1:1">
      <c r="A3931" s="9"/>
    </row>
    <row r="3932" spans="1:1">
      <c r="A3932" s="9"/>
    </row>
    <row r="3933" spans="1:1">
      <c r="A3933" s="9"/>
    </row>
    <row r="3934" spans="1:1">
      <c r="A3934" s="9"/>
    </row>
    <row r="3935" spans="1:1">
      <c r="A3935" s="9"/>
    </row>
    <row r="3936" spans="1:1">
      <c r="A3936" s="9"/>
    </row>
    <row r="3937" spans="1:1">
      <c r="A3937" s="9"/>
    </row>
    <row r="3938" spans="1:1">
      <c r="A3938" s="9"/>
    </row>
    <row r="3939" spans="1:1">
      <c r="A3939" s="9"/>
    </row>
    <row r="3940" spans="1:1">
      <c r="A3940" s="9"/>
    </row>
    <row r="3941" spans="1:1">
      <c r="A3941" s="9"/>
    </row>
    <row r="3942" spans="1:1">
      <c r="A3942" s="9"/>
    </row>
    <row r="3943" spans="1:1">
      <c r="A3943" s="9"/>
    </row>
    <row r="3944" spans="1:1">
      <c r="A3944" s="9"/>
    </row>
    <row r="3945" spans="1:1">
      <c r="A3945" s="9"/>
    </row>
    <row r="3946" spans="1:1">
      <c r="A3946" s="9"/>
    </row>
    <row r="3947" spans="1:1">
      <c r="A3947" s="9"/>
    </row>
    <row r="3948" spans="1:1">
      <c r="A3948" s="9"/>
    </row>
    <row r="3949" spans="1:1">
      <c r="A3949" s="9"/>
    </row>
    <row r="3950" spans="1:1">
      <c r="A3950" s="9"/>
    </row>
    <row r="3951" spans="1:1">
      <c r="A3951" s="9"/>
    </row>
    <row r="3952" spans="1:1">
      <c r="A3952" s="9"/>
    </row>
    <row r="3953" spans="1:1">
      <c r="A3953" s="9"/>
    </row>
    <row r="3954" spans="1:1">
      <c r="A3954" s="9"/>
    </row>
    <row r="3955" spans="1:1">
      <c r="A3955" s="9"/>
    </row>
    <row r="3956" spans="1:1">
      <c r="A3956" s="9"/>
    </row>
    <row r="3957" spans="1:1">
      <c r="A3957" s="9"/>
    </row>
    <row r="3958" spans="1:1">
      <c r="A3958" s="9"/>
    </row>
    <row r="3959" spans="1:1">
      <c r="A3959" s="9"/>
    </row>
    <row r="3960" spans="1:1">
      <c r="A3960" s="9"/>
    </row>
    <row r="3961" spans="1:1">
      <c r="A3961" s="9"/>
    </row>
    <row r="3962" spans="1:1">
      <c r="A3962" s="9"/>
    </row>
    <row r="3963" spans="1:1">
      <c r="A3963" s="9"/>
    </row>
    <row r="3964" spans="1:1">
      <c r="A3964" s="9"/>
    </row>
    <row r="3965" spans="1:1">
      <c r="A3965" s="9"/>
    </row>
    <row r="3966" spans="1:1">
      <c r="A3966" s="9"/>
    </row>
    <row r="3967" spans="1:1">
      <c r="A3967" s="9"/>
    </row>
    <row r="3968" spans="1:1">
      <c r="A3968" s="9"/>
    </row>
    <row r="3969" spans="1:1">
      <c r="A3969" s="9"/>
    </row>
    <row r="3970" spans="1:1">
      <c r="A3970" s="9"/>
    </row>
    <row r="3971" spans="1:1">
      <c r="A3971" s="9"/>
    </row>
    <row r="3972" spans="1:1">
      <c r="A3972" s="9"/>
    </row>
    <row r="3973" spans="1:1">
      <c r="A3973" s="9"/>
    </row>
    <row r="3974" spans="1:1">
      <c r="A3974" s="9"/>
    </row>
    <row r="3975" spans="1:1">
      <c r="A3975" s="9"/>
    </row>
    <row r="3976" spans="1:1">
      <c r="A3976" s="9"/>
    </row>
    <row r="3977" spans="1:1">
      <c r="A3977" s="9"/>
    </row>
    <row r="3978" spans="1:1">
      <c r="A3978" s="9"/>
    </row>
    <row r="3979" spans="1:1">
      <c r="A3979" s="9"/>
    </row>
    <row r="3980" spans="1:1">
      <c r="A3980" s="9"/>
    </row>
    <row r="3981" spans="1:1">
      <c r="A3981" s="9"/>
    </row>
    <row r="3982" spans="1:1">
      <c r="A3982" s="9"/>
    </row>
    <row r="3983" spans="1:1">
      <c r="A3983" s="9"/>
    </row>
    <row r="3984" spans="1:1">
      <c r="A3984" s="9"/>
    </row>
    <row r="3985" spans="1:1">
      <c r="A3985" s="9"/>
    </row>
    <row r="3986" spans="1:1">
      <c r="A3986" s="9"/>
    </row>
    <row r="3987" spans="1:1">
      <c r="A3987" s="9"/>
    </row>
    <row r="3988" spans="1:1">
      <c r="A3988" s="9"/>
    </row>
    <row r="3989" spans="1:1">
      <c r="A3989" s="9"/>
    </row>
    <row r="3990" spans="1:1">
      <c r="A3990" s="9"/>
    </row>
    <row r="3991" spans="1:1">
      <c r="A3991" s="9"/>
    </row>
    <row r="3992" spans="1:1">
      <c r="A3992" s="9"/>
    </row>
    <row r="3993" spans="1:1">
      <c r="A3993" s="9"/>
    </row>
    <row r="3994" spans="1:1">
      <c r="A3994" s="9"/>
    </row>
    <row r="3995" spans="1:1">
      <c r="A3995" s="9"/>
    </row>
    <row r="3996" spans="1:1">
      <c r="A3996" s="9"/>
    </row>
    <row r="3997" spans="1:1">
      <c r="A3997" s="9"/>
    </row>
    <row r="3998" spans="1:1">
      <c r="A3998" s="9"/>
    </row>
    <row r="3999" spans="1:1">
      <c r="A3999" s="9"/>
    </row>
    <row r="4000" spans="1:1">
      <c r="A4000" s="9"/>
    </row>
    <row r="4001" spans="1:1">
      <c r="A4001" s="9"/>
    </row>
    <row r="4002" spans="1:1">
      <c r="A4002" s="9"/>
    </row>
    <row r="4003" spans="1:1">
      <c r="A4003" s="9"/>
    </row>
    <row r="4004" spans="1:1">
      <c r="A4004" s="9"/>
    </row>
    <row r="4005" spans="1:1">
      <c r="A4005" s="9"/>
    </row>
    <row r="4006" spans="1:1">
      <c r="A4006" s="9"/>
    </row>
    <row r="4007" spans="1:1">
      <c r="A4007" s="9"/>
    </row>
    <row r="4008" spans="1:1">
      <c r="A4008" s="9"/>
    </row>
    <row r="4009" spans="1:1">
      <c r="A4009" s="9"/>
    </row>
    <row r="4010" spans="1:1">
      <c r="A4010" s="9"/>
    </row>
    <row r="4011" spans="1:1">
      <c r="A4011" s="9"/>
    </row>
    <row r="4012" spans="1:1">
      <c r="A4012" s="9"/>
    </row>
    <row r="4013" spans="1:1">
      <c r="A4013" s="9"/>
    </row>
    <row r="4014" spans="1:1">
      <c r="A4014" s="9"/>
    </row>
    <row r="4015" spans="1:1">
      <c r="A4015" s="9"/>
    </row>
    <row r="4016" spans="1:1">
      <c r="A4016" s="9"/>
    </row>
    <row r="4017" spans="1:1">
      <c r="A4017" s="9"/>
    </row>
    <row r="4018" spans="1:1">
      <c r="A4018" s="9"/>
    </row>
    <row r="4019" spans="1:1">
      <c r="A4019" s="9"/>
    </row>
    <row r="4020" spans="1:1">
      <c r="A4020" s="9"/>
    </row>
    <row r="4021" spans="1:1">
      <c r="A4021" s="9"/>
    </row>
    <row r="4022" spans="1:1">
      <c r="A4022" s="9"/>
    </row>
    <row r="4023" spans="1:1">
      <c r="A4023" s="9"/>
    </row>
    <row r="4024" spans="1:1">
      <c r="A4024" s="9"/>
    </row>
    <row r="4025" spans="1:1">
      <c r="A4025" s="9"/>
    </row>
    <row r="4026" spans="1:1">
      <c r="A4026" s="9"/>
    </row>
    <row r="4027" spans="1:1">
      <c r="A4027" s="9"/>
    </row>
    <row r="4028" spans="1:1">
      <c r="A4028" s="9"/>
    </row>
    <row r="4029" spans="1:1">
      <c r="A4029" s="9"/>
    </row>
    <row r="4030" spans="1:1">
      <c r="A4030" s="9"/>
    </row>
    <row r="4031" spans="1:1">
      <c r="A4031" s="9"/>
    </row>
    <row r="4032" spans="1:1">
      <c r="A4032" s="9"/>
    </row>
    <row r="4033" spans="1:1">
      <c r="A4033" s="9"/>
    </row>
    <row r="4034" spans="1:1">
      <c r="A4034" s="9"/>
    </row>
    <row r="4035" spans="1:1">
      <c r="A4035" s="9"/>
    </row>
    <row r="4036" spans="1:1">
      <c r="A4036" s="9"/>
    </row>
    <row r="4037" spans="1:1">
      <c r="A4037" s="9"/>
    </row>
    <row r="4038" spans="1:1">
      <c r="A4038" s="9"/>
    </row>
    <row r="4039" spans="1:1">
      <c r="A4039" s="9"/>
    </row>
    <row r="4040" spans="1:1">
      <c r="A4040" s="9"/>
    </row>
    <row r="4041" spans="1:1">
      <c r="A4041" s="9"/>
    </row>
    <row r="4042" spans="1:1">
      <c r="A4042" s="9"/>
    </row>
    <row r="4043" spans="1:1">
      <c r="A4043" s="9"/>
    </row>
    <row r="4044" spans="1:1">
      <c r="A4044" s="9"/>
    </row>
    <row r="4045" spans="1:1">
      <c r="A4045" s="9"/>
    </row>
    <row r="4046" spans="1:1">
      <c r="A4046" s="9"/>
    </row>
    <row r="4047" spans="1:1">
      <c r="A4047" s="9"/>
    </row>
    <row r="4048" spans="1:1">
      <c r="A4048" s="9"/>
    </row>
    <row r="4049" spans="1:1">
      <c r="A4049" s="9"/>
    </row>
    <row r="4050" spans="1:1">
      <c r="A4050" s="9"/>
    </row>
    <row r="4051" spans="1:1">
      <c r="A4051" s="9"/>
    </row>
    <row r="4052" spans="1:1">
      <c r="A4052" s="9"/>
    </row>
    <row r="4053" spans="1:1">
      <c r="A4053" s="9"/>
    </row>
    <row r="4054" spans="1:1">
      <c r="A4054" s="9"/>
    </row>
    <row r="4055" spans="1:1">
      <c r="A4055" s="9"/>
    </row>
    <row r="4056" spans="1:1">
      <c r="A4056" s="9"/>
    </row>
    <row r="4057" spans="1:1">
      <c r="A4057" s="9"/>
    </row>
    <row r="4058" spans="1:1">
      <c r="A4058" s="9"/>
    </row>
    <row r="4059" spans="1:1">
      <c r="A4059" s="9"/>
    </row>
    <row r="4060" spans="1:1">
      <c r="A4060" s="9"/>
    </row>
    <row r="4061" spans="1:1">
      <c r="A4061" s="9"/>
    </row>
    <row r="4062" spans="1:1">
      <c r="A4062" s="9"/>
    </row>
    <row r="4063" spans="1:1">
      <c r="A4063" s="9"/>
    </row>
    <row r="4064" spans="1:1">
      <c r="A4064" s="9"/>
    </row>
    <row r="4065" spans="1:1">
      <c r="A4065" s="9"/>
    </row>
    <row r="4066" spans="1:1">
      <c r="A4066" s="9"/>
    </row>
    <row r="4067" spans="1:1">
      <c r="A4067" s="9"/>
    </row>
    <row r="4068" spans="1:1">
      <c r="A4068" s="9"/>
    </row>
    <row r="4069" spans="1:1">
      <c r="A4069" s="9"/>
    </row>
    <row r="4070" spans="1:1">
      <c r="A4070" s="9"/>
    </row>
    <row r="4071" spans="1:1">
      <c r="A4071" s="9"/>
    </row>
    <row r="4072" spans="1:1">
      <c r="A4072" s="9"/>
    </row>
    <row r="4073" spans="1:1">
      <c r="A4073" s="9"/>
    </row>
    <row r="4074" spans="1:1">
      <c r="A4074" s="9"/>
    </row>
    <row r="4075" spans="1:1">
      <c r="A4075" s="9"/>
    </row>
    <row r="4076" spans="1:1">
      <c r="A4076" s="9"/>
    </row>
    <row r="4077" spans="1:1">
      <c r="A4077" s="9"/>
    </row>
    <row r="4078" spans="1:1">
      <c r="A4078" s="9"/>
    </row>
    <row r="4079" spans="1:1">
      <c r="A4079" s="9"/>
    </row>
    <row r="4080" spans="1:1">
      <c r="A4080" s="9"/>
    </row>
    <row r="4081" spans="1:1">
      <c r="A4081" s="9"/>
    </row>
    <row r="4082" spans="1:1">
      <c r="A4082" s="9"/>
    </row>
    <row r="4083" spans="1:1">
      <c r="A4083" s="9"/>
    </row>
    <row r="4084" spans="1:1">
      <c r="A4084" s="9"/>
    </row>
    <row r="4085" spans="1:1">
      <c r="A4085" s="9"/>
    </row>
    <row r="4086" spans="1:1">
      <c r="A4086" s="9"/>
    </row>
    <row r="4087" spans="1:1">
      <c r="A4087" s="9"/>
    </row>
    <row r="4088" spans="1:1">
      <c r="A4088" s="9"/>
    </row>
    <row r="4089" spans="1:1">
      <c r="A4089" s="9"/>
    </row>
    <row r="4090" spans="1:1">
      <c r="A4090" s="9"/>
    </row>
    <row r="4091" spans="1:1">
      <c r="A4091" s="9"/>
    </row>
    <row r="4092" spans="1:1">
      <c r="A4092" s="9"/>
    </row>
    <row r="4093" spans="1:1">
      <c r="A4093" s="9"/>
    </row>
    <row r="4094" spans="1:1">
      <c r="A4094" s="9"/>
    </row>
    <row r="4095" spans="1:1">
      <c r="A4095" s="9"/>
    </row>
    <row r="4096" spans="1:1">
      <c r="A4096" s="9"/>
    </row>
    <row r="4097" spans="1:1">
      <c r="A4097" s="9"/>
    </row>
    <row r="4098" spans="1:1">
      <c r="A4098" s="9"/>
    </row>
    <row r="4099" spans="1:1">
      <c r="A4099" s="9"/>
    </row>
    <row r="4100" spans="1:1">
      <c r="A4100" s="9"/>
    </row>
    <row r="4101" spans="1:1">
      <c r="A4101" s="9"/>
    </row>
    <row r="4102" spans="1:1">
      <c r="A4102" s="9"/>
    </row>
    <row r="4103" spans="1:1">
      <c r="A4103" s="9"/>
    </row>
    <row r="4104" spans="1:1">
      <c r="A4104" s="9"/>
    </row>
    <row r="4105" spans="1:1">
      <c r="A4105" s="9"/>
    </row>
    <row r="4106" spans="1:1">
      <c r="A4106" s="9"/>
    </row>
    <row r="4107" spans="1:1">
      <c r="A4107" s="9"/>
    </row>
    <row r="4108" spans="1:1">
      <c r="A4108" s="9"/>
    </row>
    <row r="4109" spans="1:1">
      <c r="A4109" s="9"/>
    </row>
    <row r="4110" spans="1:1">
      <c r="A4110" s="9"/>
    </row>
    <row r="4111" spans="1:1">
      <c r="A4111" s="9"/>
    </row>
    <row r="4112" spans="1:1">
      <c r="A4112" s="9"/>
    </row>
    <row r="4113" spans="1:1">
      <c r="A4113" s="9"/>
    </row>
    <row r="4114" spans="1:1">
      <c r="A4114" s="9"/>
    </row>
    <row r="4115" spans="1:1">
      <c r="A4115" s="9"/>
    </row>
    <row r="4116" spans="1:1">
      <c r="A4116" s="9"/>
    </row>
    <row r="4117" spans="1:1">
      <c r="A4117" s="9"/>
    </row>
    <row r="4118" spans="1:1">
      <c r="A4118" s="9"/>
    </row>
    <row r="4119" spans="1:1">
      <c r="A4119" s="9"/>
    </row>
    <row r="4120" spans="1:1">
      <c r="A4120" s="9"/>
    </row>
    <row r="4121" spans="1:1">
      <c r="A4121" s="9"/>
    </row>
    <row r="4122" spans="1:1">
      <c r="A4122" s="9"/>
    </row>
    <row r="4123" spans="1:1">
      <c r="A4123" s="9"/>
    </row>
    <row r="4124" spans="1:1">
      <c r="A4124" s="9"/>
    </row>
    <row r="4125" spans="1:1">
      <c r="A4125" s="9"/>
    </row>
    <row r="4126" spans="1:1">
      <c r="A4126" s="9"/>
    </row>
    <row r="4127" spans="1:1">
      <c r="A4127" s="9"/>
    </row>
    <row r="4128" spans="1:1">
      <c r="A4128" s="9"/>
    </row>
    <row r="4129" spans="1:1">
      <c r="A4129" s="9"/>
    </row>
    <row r="4130" spans="1:1">
      <c r="A4130" s="9"/>
    </row>
    <row r="4131" spans="1:1">
      <c r="A4131" s="9"/>
    </row>
    <row r="4132" spans="1:1">
      <c r="A4132" s="9"/>
    </row>
    <row r="4133" spans="1:1">
      <c r="A4133" s="9"/>
    </row>
    <row r="4134" spans="1:1">
      <c r="A4134" s="9"/>
    </row>
    <row r="4135" spans="1:1">
      <c r="A4135" s="9"/>
    </row>
    <row r="4136" spans="1:1">
      <c r="A4136" s="9"/>
    </row>
    <row r="4137" spans="1:1">
      <c r="A4137" s="9"/>
    </row>
    <row r="4138" spans="1:1">
      <c r="A4138" s="9"/>
    </row>
    <row r="4139" spans="1:1">
      <c r="A4139" s="9"/>
    </row>
    <row r="4140" spans="1:1">
      <c r="A4140" s="9"/>
    </row>
    <row r="4141" spans="1:1">
      <c r="A4141" s="9"/>
    </row>
    <row r="4142" spans="1:1">
      <c r="A4142" s="9"/>
    </row>
    <row r="4143" spans="1:1">
      <c r="A4143" s="9"/>
    </row>
    <row r="4144" spans="1:1">
      <c r="A4144" s="9"/>
    </row>
    <row r="4145" spans="1:1">
      <c r="A4145" s="9"/>
    </row>
    <row r="4146" spans="1:1">
      <c r="A4146" s="9"/>
    </row>
    <row r="4147" spans="1:1">
      <c r="A4147" s="9"/>
    </row>
    <row r="4148" spans="1:1">
      <c r="A4148" s="9"/>
    </row>
    <row r="4149" spans="1:1">
      <c r="A4149" s="9"/>
    </row>
    <row r="4150" spans="1:1">
      <c r="A4150" s="9"/>
    </row>
    <row r="4151" spans="1:1">
      <c r="A4151" s="9"/>
    </row>
    <row r="4152" spans="1:1">
      <c r="A4152" s="9"/>
    </row>
    <row r="4153" spans="1:1">
      <c r="A4153" s="9"/>
    </row>
    <row r="4154" spans="1:1">
      <c r="A4154" s="9"/>
    </row>
    <row r="4155" spans="1:1">
      <c r="A4155" s="9"/>
    </row>
    <row r="4156" spans="1:1">
      <c r="A4156" s="9"/>
    </row>
    <row r="4157" spans="1:1">
      <c r="A4157" s="9"/>
    </row>
    <row r="4158" spans="1:1">
      <c r="A4158" s="9"/>
    </row>
    <row r="4159" spans="1:1">
      <c r="A4159" s="9"/>
    </row>
    <row r="4160" spans="1:1">
      <c r="A4160" s="9"/>
    </row>
    <row r="4161" spans="1:1">
      <c r="A4161" s="9"/>
    </row>
    <row r="4162" spans="1:1">
      <c r="A4162" s="9"/>
    </row>
    <row r="4163" spans="1:1">
      <c r="A4163" s="9"/>
    </row>
    <row r="4164" spans="1:1">
      <c r="A4164" s="9"/>
    </row>
    <row r="4165" spans="1:1">
      <c r="A4165" s="9"/>
    </row>
    <row r="4166" spans="1:1">
      <c r="A4166" s="9"/>
    </row>
    <row r="4167" spans="1:1">
      <c r="A4167" s="9"/>
    </row>
    <row r="4168" spans="1:1">
      <c r="A4168" s="9"/>
    </row>
    <row r="4169" spans="1:1">
      <c r="A4169" s="9"/>
    </row>
    <row r="4170" spans="1:1">
      <c r="A4170" s="9"/>
    </row>
    <row r="4171" spans="1:1">
      <c r="A4171" s="9"/>
    </row>
    <row r="4172" spans="1:1">
      <c r="A4172" s="9"/>
    </row>
    <row r="4173" spans="1:1">
      <c r="A4173" s="9"/>
    </row>
    <row r="4174" spans="1:1">
      <c r="A4174" s="9"/>
    </row>
    <row r="4175" spans="1:1">
      <c r="A4175" s="9"/>
    </row>
    <row r="4176" spans="1:1">
      <c r="A4176" s="9"/>
    </row>
    <row r="4177" spans="1:1">
      <c r="A4177" s="9"/>
    </row>
    <row r="4178" spans="1:1">
      <c r="A4178" s="9"/>
    </row>
    <row r="4179" spans="1:1">
      <c r="A4179" s="9"/>
    </row>
    <row r="4180" spans="1:1">
      <c r="A4180" s="9"/>
    </row>
    <row r="4181" spans="1:1">
      <c r="A4181" s="9"/>
    </row>
    <row r="4182" spans="1:1">
      <c r="A4182" s="9"/>
    </row>
    <row r="4183" spans="1:1">
      <c r="A4183" s="9"/>
    </row>
    <row r="4184" spans="1:1">
      <c r="A4184" s="9"/>
    </row>
    <row r="4185" spans="1:1">
      <c r="A4185" s="9"/>
    </row>
    <row r="4186" spans="1:1">
      <c r="A4186" s="9"/>
    </row>
    <row r="4187" spans="1:1">
      <c r="A4187" s="9"/>
    </row>
    <row r="4188" spans="1:1">
      <c r="A4188" s="9"/>
    </row>
    <row r="4189" spans="1:1">
      <c r="A4189" s="9"/>
    </row>
    <row r="4190" spans="1:1">
      <c r="A4190" s="9"/>
    </row>
    <row r="4191" spans="1:1">
      <c r="A4191" s="9"/>
    </row>
    <row r="4192" spans="1:1">
      <c r="A4192" s="9"/>
    </row>
    <row r="4193" spans="1:1">
      <c r="A4193" s="9"/>
    </row>
    <row r="4194" spans="1:1">
      <c r="A4194" s="9"/>
    </row>
    <row r="4195" spans="1:1">
      <c r="A4195" s="9"/>
    </row>
    <row r="4196" spans="1:1">
      <c r="A4196" s="9"/>
    </row>
    <row r="4197" spans="1:1">
      <c r="A4197" s="9"/>
    </row>
    <row r="4198" spans="1:1">
      <c r="A4198" s="9"/>
    </row>
    <row r="4199" spans="1:1">
      <c r="A4199" s="9"/>
    </row>
    <row r="4200" spans="1:1">
      <c r="A4200" s="9"/>
    </row>
    <row r="4201" spans="1:1">
      <c r="A4201" s="9"/>
    </row>
    <row r="4202" spans="1:1">
      <c r="A4202" s="9"/>
    </row>
    <row r="4203" spans="1:1">
      <c r="A4203" s="9"/>
    </row>
    <row r="4204" spans="1:1">
      <c r="A4204" s="9"/>
    </row>
    <row r="4205" spans="1:1">
      <c r="A4205" s="9"/>
    </row>
    <row r="4206" spans="1:1">
      <c r="A4206" s="9"/>
    </row>
    <row r="4207" spans="1:1">
      <c r="A4207" s="9"/>
    </row>
    <row r="4208" spans="1:1">
      <c r="A4208" s="9"/>
    </row>
    <row r="4209" spans="1:1">
      <c r="A4209" s="9"/>
    </row>
    <row r="4210" spans="1:1">
      <c r="A4210" s="9"/>
    </row>
    <row r="4211" spans="1:1">
      <c r="A4211" s="9"/>
    </row>
    <row r="4212" spans="1:1">
      <c r="A4212" s="9"/>
    </row>
    <row r="4213" spans="1:1">
      <c r="A4213" s="9"/>
    </row>
    <row r="4214" spans="1:1">
      <c r="A4214" s="9"/>
    </row>
    <row r="4215" spans="1:1">
      <c r="A4215" s="9"/>
    </row>
    <row r="4216" spans="1:1">
      <c r="A4216" s="9"/>
    </row>
    <row r="4217" spans="1:1">
      <c r="A4217" s="9"/>
    </row>
    <row r="4218" spans="1:1">
      <c r="A4218" s="9"/>
    </row>
    <row r="4219" spans="1:1">
      <c r="A4219" s="9"/>
    </row>
    <row r="4220" spans="1:1">
      <c r="A4220" s="9"/>
    </row>
    <row r="4221" spans="1:1">
      <c r="A4221" s="9"/>
    </row>
    <row r="4222" spans="1:1">
      <c r="A4222" s="9"/>
    </row>
    <row r="4223" spans="1:1">
      <c r="A4223" s="9"/>
    </row>
    <row r="4224" spans="1:1">
      <c r="A4224" s="9"/>
    </row>
    <row r="4225" spans="1:1">
      <c r="A4225" s="9"/>
    </row>
    <row r="4226" spans="1:1">
      <c r="A4226" s="9"/>
    </row>
    <row r="4227" spans="1:1">
      <c r="A4227" s="9"/>
    </row>
    <row r="4228" spans="1:1">
      <c r="A4228" s="9"/>
    </row>
    <row r="4229" spans="1:1">
      <c r="A4229" s="9"/>
    </row>
    <row r="4230" spans="1:1">
      <c r="A4230" s="9"/>
    </row>
    <row r="4231" spans="1:1">
      <c r="A4231" s="9"/>
    </row>
    <row r="4232" spans="1:1">
      <c r="A4232" s="9"/>
    </row>
    <row r="4233" spans="1:1">
      <c r="A4233" s="9"/>
    </row>
    <row r="4234" spans="1:1">
      <c r="A4234" s="9"/>
    </row>
    <row r="4235" spans="1:1">
      <c r="A4235" s="9"/>
    </row>
    <row r="4236" spans="1:1">
      <c r="A4236" s="9"/>
    </row>
    <row r="4237" spans="1:1">
      <c r="A4237" s="9"/>
    </row>
    <row r="4238" spans="1:1">
      <c r="A4238" s="9"/>
    </row>
    <row r="4239" spans="1:1">
      <c r="A4239" s="9"/>
    </row>
    <row r="4240" spans="1:1">
      <c r="A4240" s="9"/>
    </row>
    <row r="4241" spans="1:1">
      <c r="A4241" s="9"/>
    </row>
    <row r="4242" spans="1:1">
      <c r="A4242" s="9"/>
    </row>
    <row r="4243" spans="1:1">
      <c r="A4243" s="9"/>
    </row>
    <row r="4244" spans="1:1">
      <c r="A4244" s="9"/>
    </row>
    <row r="4245" spans="1:1">
      <c r="A4245" s="9"/>
    </row>
    <row r="4246" spans="1:1">
      <c r="A4246" s="9"/>
    </row>
    <row r="4247" spans="1:1">
      <c r="A4247" s="9"/>
    </row>
    <row r="4248" spans="1:1">
      <c r="A4248" s="9"/>
    </row>
    <row r="4249" spans="1:1">
      <c r="A4249" s="9"/>
    </row>
    <row r="4250" spans="1:1">
      <c r="A4250" s="9"/>
    </row>
    <row r="4251" spans="1:1">
      <c r="A4251" s="9"/>
    </row>
    <row r="4252" spans="1:1">
      <c r="A4252" s="9"/>
    </row>
    <row r="4253" spans="1:1">
      <c r="A4253" s="9"/>
    </row>
    <row r="4254" spans="1:1">
      <c r="A4254" s="9"/>
    </row>
    <row r="4255" spans="1:1">
      <c r="A4255" s="9"/>
    </row>
    <row r="4256" spans="1:1">
      <c r="A4256" s="9"/>
    </row>
    <row r="4257" spans="1:1">
      <c r="A4257" s="9"/>
    </row>
    <row r="4258" spans="1:1">
      <c r="A4258" s="9"/>
    </row>
    <row r="4259" spans="1:1">
      <c r="A4259" s="9"/>
    </row>
    <row r="4260" spans="1:1">
      <c r="A4260" s="9"/>
    </row>
    <row r="4261" spans="1:1">
      <c r="A4261" s="9"/>
    </row>
    <row r="4262" spans="1:1">
      <c r="A4262" s="9"/>
    </row>
    <row r="4263" spans="1:1">
      <c r="A4263" s="9"/>
    </row>
    <row r="4264" spans="1:1">
      <c r="A4264" s="9"/>
    </row>
    <row r="4265" spans="1:1">
      <c r="A4265" s="9"/>
    </row>
    <row r="4266" spans="1:1">
      <c r="A4266" s="9"/>
    </row>
    <row r="4267" spans="1:1">
      <c r="A4267" s="9"/>
    </row>
    <row r="4268" spans="1:1">
      <c r="A4268" s="9"/>
    </row>
    <row r="4269" spans="1:1">
      <c r="A4269" s="9"/>
    </row>
    <row r="4270" spans="1:1">
      <c r="A4270" s="9"/>
    </row>
    <row r="4271" spans="1:1">
      <c r="A4271" s="9"/>
    </row>
    <row r="4272" spans="1:1">
      <c r="A4272" s="9"/>
    </row>
    <row r="4273" spans="1:1">
      <c r="A4273" s="9"/>
    </row>
    <row r="4274" spans="1:1">
      <c r="A4274" s="9"/>
    </row>
    <row r="4275" spans="1:1">
      <c r="A4275" s="9"/>
    </row>
    <row r="4276" spans="1:1">
      <c r="A4276" s="9"/>
    </row>
    <row r="4277" spans="1:1">
      <c r="A4277" s="9"/>
    </row>
    <row r="4278" spans="1:1">
      <c r="A4278" s="9"/>
    </row>
    <row r="4279" spans="1:1">
      <c r="A4279" s="9"/>
    </row>
    <row r="4280" spans="1:1">
      <c r="A4280" s="9"/>
    </row>
    <row r="4281" spans="1:1">
      <c r="A4281" s="9"/>
    </row>
    <row r="4282" spans="1:1">
      <c r="A4282" s="9"/>
    </row>
    <row r="4283" spans="1:1">
      <c r="A4283" s="9"/>
    </row>
    <row r="4284" spans="1:1">
      <c r="A4284" s="9"/>
    </row>
    <row r="4285" spans="1:1">
      <c r="A4285" s="9"/>
    </row>
    <row r="4286" spans="1:1">
      <c r="A4286" s="9"/>
    </row>
    <row r="4287" spans="1:1">
      <c r="A4287" s="9"/>
    </row>
    <row r="4288" spans="1:1">
      <c r="A4288" s="9"/>
    </row>
    <row r="4289" spans="1:1">
      <c r="A4289" s="9"/>
    </row>
    <row r="4290" spans="1:1">
      <c r="A4290" s="9"/>
    </row>
    <row r="4291" spans="1:1">
      <c r="A4291" s="9"/>
    </row>
    <row r="4292" spans="1:1">
      <c r="A4292" s="9"/>
    </row>
    <row r="4293" spans="1:1">
      <c r="A4293" s="9"/>
    </row>
    <row r="4294" spans="1:1">
      <c r="A4294" s="9"/>
    </row>
    <row r="4295" spans="1:1">
      <c r="A4295" s="9"/>
    </row>
    <row r="4296" spans="1:1">
      <c r="A4296" s="9"/>
    </row>
    <row r="4297" spans="1:1">
      <c r="A4297" s="9"/>
    </row>
    <row r="4298" spans="1:1">
      <c r="A4298" s="9"/>
    </row>
    <row r="4299" spans="1:1">
      <c r="A4299" s="9"/>
    </row>
    <row r="4300" spans="1:1">
      <c r="A4300" s="9"/>
    </row>
    <row r="4301" spans="1:1">
      <c r="A4301" s="9"/>
    </row>
    <row r="4302" spans="1:1">
      <c r="A4302" s="9"/>
    </row>
    <row r="4303" spans="1:1">
      <c r="A4303" s="9"/>
    </row>
    <row r="4304" spans="1:1">
      <c r="A4304" s="9"/>
    </row>
    <row r="4305" spans="1:1">
      <c r="A4305" s="9"/>
    </row>
    <row r="4306" spans="1:1">
      <c r="A4306" s="9"/>
    </row>
    <row r="4307" spans="1:1">
      <c r="A4307" s="9"/>
    </row>
    <row r="4308" spans="1:1">
      <c r="A4308" s="9"/>
    </row>
    <row r="4309" spans="1:1">
      <c r="A4309" s="9"/>
    </row>
    <row r="4310" spans="1:1">
      <c r="A4310" s="9"/>
    </row>
    <row r="4311" spans="1:1">
      <c r="A4311" s="9"/>
    </row>
    <row r="4312" spans="1:1">
      <c r="A4312" s="9"/>
    </row>
    <row r="4313" spans="1:1">
      <c r="A4313" s="9"/>
    </row>
    <row r="4314" spans="1:1">
      <c r="A4314" s="9"/>
    </row>
    <row r="4315" spans="1:1">
      <c r="A4315" s="9"/>
    </row>
    <row r="4316" spans="1:1">
      <c r="A4316" s="9"/>
    </row>
    <row r="4317" spans="1:1">
      <c r="A4317" s="9"/>
    </row>
    <row r="4318" spans="1:1">
      <c r="A4318" s="9"/>
    </row>
    <row r="4319" spans="1:1">
      <c r="A4319" s="9"/>
    </row>
    <row r="4320" spans="1:1">
      <c r="A4320" s="9"/>
    </row>
    <row r="4321" spans="1:1">
      <c r="A4321" s="9"/>
    </row>
    <row r="4322" spans="1:1">
      <c r="A4322" s="9"/>
    </row>
    <row r="4323" spans="1:1">
      <c r="A4323" s="9"/>
    </row>
    <row r="4324" spans="1:1">
      <c r="A4324" s="9"/>
    </row>
    <row r="4325" spans="1:1">
      <c r="A4325" s="9"/>
    </row>
    <row r="4326" spans="1:1">
      <c r="A4326" s="9"/>
    </row>
    <row r="4327" spans="1:1">
      <c r="A4327" s="9"/>
    </row>
    <row r="4328" spans="1:1">
      <c r="A4328" s="9"/>
    </row>
    <row r="4329" spans="1:1">
      <c r="A4329" s="9"/>
    </row>
    <row r="4330" spans="1:1">
      <c r="A4330" s="9"/>
    </row>
    <row r="4331" spans="1:1">
      <c r="A4331" s="9"/>
    </row>
    <row r="4332" spans="1:1">
      <c r="A4332" s="9"/>
    </row>
    <row r="4333" spans="1:1">
      <c r="A4333" s="9"/>
    </row>
    <row r="4334" spans="1:1">
      <c r="A4334" s="9"/>
    </row>
    <row r="4335" spans="1:1">
      <c r="A4335" s="9"/>
    </row>
    <row r="4336" spans="1:1">
      <c r="A4336" s="9"/>
    </row>
    <row r="4337" spans="1:1">
      <c r="A4337" s="9"/>
    </row>
    <row r="4338" spans="1:1">
      <c r="A4338" s="9"/>
    </row>
    <row r="4339" spans="1:1">
      <c r="A4339" s="9"/>
    </row>
    <row r="4340" spans="1:1">
      <c r="A4340" s="9"/>
    </row>
    <row r="4341" spans="1:1">
      <c r="A4341" s="9"/>
    </row>
    <row r="4342" spans="1:1">
      <c r="A4342" s="9"/>
    </row>
    <row r="4343" spans="1:1">
      <c r="A4343" s="9"/>
    </row>
    <row r="4344" spans="1:1">
      <c r="A4344" s="9"/>
    </row>
    <row r="4345" spans="1:1">
      <c r="A4345" s="9"/>
    </row>
    <row r="4346" spans="1:1">
      <c r="A4346" s="9"/>
    </row>
    <row r="4347" spans="1:1">
      <c r="A4347" s="9"/>
    </row>
    <row r="4348" spans="1:1">
      <c r="A4348" s="9"/>
    </row>
    <row r="4349" spans="1:1">
      <c r="A4349" s="9"/>
    </row>
    <row r="4350" spans="1:1">
      <c r="A4350" s="9"/>
    </row>
    <row r="4351" spans="1:1">
      <c r="A4351" s="9"/>
    </row>
    <row r="4352" spans="1:1">
      <c r="A4352" s="9"/>
    </row>
    <row r="4353" spans="1:1">
      <c r="A4353" s="9"/>
    </row>
    <row r="4354" spans="1:1">
      <c r="A4354" s="9"/>
    </row>
    <row r="4355" spans="1:1">
      <c r="A4355" s="9"/>
    </row>
    <row r="4356" spans="1:1">
      <c r="A4356" s="9"/>
    </row>
    <row r="4357" spans="1:1">
      <c r="A4357" s="9"/>
    </row>
    <row r="4358" spans="1:1">
      <c r="A4358" s="9"/>
    </row>
    <row r="4359" spans="1:1">
      <c r="A4359" s="9"/>
    </row>
    <row r="4360" spans="1:1">
      <c r="A4360" s="9"/>
    </row>
    <row r="4361" spans="1:1">
      <c r="A4361" s="9"/>
    </row>
    <row r="4362" spans="1:1">
      <c r="A4362" s="9"/>
    </row>
    <row r="4363" spans="1:1">
      <c r="A4363" s="9"/>
    </row>
    <row r="4364" spans="1:1">
      <c r="A4364" s="9"/>
    </row>
    <row r="4365" spans="1:1">
      <c r="A4365" s="9"/>
    </row>
    <row r="4366" spans="1:1">
      <c r="A4366" s="9"/>
    </row>
    <row r="4367" spans="1:1">
      <c r="A4367" s="9"/>
    </row>
    <row r="4368" spans="1:1">
      <c r="A4368" s="9"/>
    </row>
    <row r="4369" spans="1:1">
      <c r="A4369" s="9"/>
    </row>
    <row r="4370" spans="1:1">
      <c r="A4370" s="9"/>
    </row>
    <row r="4371" spans="1:1">
      <c r="A4371" s="9"/>
    </row>
    <row r="4372" spans="1:1">
      <c r="A4372" s="9"/>
    </row>
    <row r="4373" spans="1:1">
      <c r="A4373" s="9"/>
    </row>
    <row r="4374" spans="1:1">
      <c r="A4374" s="9"/>
    </row>
    <row r="4375" spans="1:1">
      <c r="A4375" s="9"/>
    </row>
    <row r="4376" spans="1:1">
      <c r="A4376" s="9"/>
    </row>
    <row r="4377" spans="1:1">
      <c r="A4377" s="9"/>
    </row>
    <row r="4378" spans="1:1">
      <c r="A4378" s="9"/>
    </row>
    <row r="4379" spans="1:1">
      <c r="A4379" s="9"/>
    </row>
    <row r="4380" spans="1:1">
      <c r="A4380" s="9"/>
    </row>
    <row r="4381" spans="1:1">
      <c r="A4381" s="9"/>
    </row>
    <row r="4382" spans="1:1">
      <c r="A4382" s="9"/>
    </row>
    <row r="4383" spans="1:1">
      <c r="A4383" s="9"/>
    </row>
    <row r="4384" spans="1:1">
      <c r="A4384" s="9"/>
    </row>
    <row r="4385" spans="1:1">
      <c r="A4385" s="9"/>
    </row>
    <row r="4386" spans="1:1">
      <c r="A4386" s="9"/>
    </row>
    <row r="4387" spans="1:1">
      <c r="A4387" s="9"/>
    </row>
    <row r="4388" spans="1:1">
      <c r="A4388" s="9"/>
    </row>
    <row r="4389" spans="1:1">
      <c r="A4389" s="9"/>
    </row>
    <row r="4390" spans="1:1">
      <c r="A4390" s="9"/>
    </row>
    <row r="4391" spans="1:1">
      <c r="A4391" s="9"/>
    </row>
    <row r="4392" spans="1:1">
      <c r="A4392" s="9"/>
    </row>
    <row r="4393" spans="1:1">
      <c r="A4393" s="9"/>
    </row>
    <row r="4394" spans="1:1">
      <c r="A4394" s="9"/>
    </row>
    <row r="4395" spans="1:1">
      <c r="A4395" s="9"/>
    </row>
    <row r="4396" spans="1:1">
      <c r="A4396" s="9"/>
    </row>
    <row r="4397" spans="1:1">
      <c r="A4397" s="9"/>
    </row>
    <row r="4398" spans="1:1">
      <c r="A4398" s="9"/>
    </row>
    <row r="4399" spans="1:1">
      <c r="A4399" s="9"/>
    </row>
    <row r="4400" spans="1:1">
      <c r="A4400" s="9"/>
    </row>
    <row r="4401" spans="1:1">
      <c r="A4401" s="9"/>
    </row>
    <row r="4402" spans="1:1">
      <c r="A4402" s="9"/>
    </row>
    <row r="4403" spans="1:1">
      <c r="A4403" s="9"/>
    </row>
    <row r="4404" spans="1:1">
      <c r="A4404" s="9"/>
    </row>
    <row r="4405" spans="1:1">
      <c r="A4405" s="9"/>
    </row>
    <row r="4406" spans="1:1">
      <c r="A4406" s="9"/>
    </row>
    <row r="4407" spans="1:1">
      <c r="A4407" s="9"/>
    </row>
    <row r="4408" spans="1:1">
      <c r="A4408" s="9"/>
    </row>
    <row r="4409" spans="1:1">
      <c r="A4409" s="9"/>
    </row>
    <row r="4410" spans="1:1">
      <c r="A4410" s="9"/>
    </row>
    <row r="4411" spans="1:1">
      <c r="A4411" s="9"/>
    </row>
    <row r="4412" spans="1:1">
      <c r="A4412" s="9"/>
    </row>
    <row r="4413" spans="1:1">
      <c r="A4413" s="9"/>
    </row>
    <row r="4414" spans="1:1">
      <c r="A4414" s="9"/>
    </row>
    <row r="4415" spans="1:1">
      <c r="A4415" s="9"/>
    </row>
    <row r="4416" spans="1:1">
      <c r="A4416" s="9"/>
    </row>
    <row r="4417" spans="1:1">
      <c r="A4417" s="9"/>
    </row>
    <row r="4418" spans="1:1">
      <c r="A4418" s="9"/>
    </row>
    <row r="4419" spans="1:1">
      <c r="A4419" s="9"/>
    </row>
    <row r="4420" spans="1:1">
      <c r="A4420" s="9"/>
    </row>
    <row r="4421" spans="1:1">
      <c r="A4421" s="9"/>
    </row>
    <row r="4422" spans="1:1">
      <c r="A4422" s="9"/>
    </row>
    <row r="4423" spans="1:1">
      <c r="A4423" s="9"/>
    </row>
    <row r="4424" spans="1:1">
      <c r="A4424" s="9"/>
    </row>
    <row r="4425" spans="1:1">
      <c r="A4425" s="9"/>
    </row>
    <row r="4426" spans="1:1">
      <c r="A4426" s="9"/>
    </row>
    <row r="4427" spans="1:1">
      <c r="A4427" s="9"/>
    </row>
    <row r="4428" spans="1:1">
      <c r="A4428" s="9"/>
    </row>
    <row r="4429" spans="1:1">
      <c r="A4429" s="9"/>
    </row>
    <row r="4430" spans="1:1">
      <c r="A4430" s="9"/>
    </row>
    <row r="4431" spans="1:1">
      <c r="A4431" s="9"/>
    </row>
    <row r="4432" spans="1:1">
      <c r="A4432" s="9"/>
    </row>
    <row r="4433" spans="1:1">
      <c r="A4433" s="9"/>
    </row>
    <row r="4434" spans="1:1">
      <c r="A4434" s="9"/>
    </row>
    <row r="4435" spans="1:1">
      <c r="A4435" s="9"/>
    </row>
    <row r="4436" spans="1:1">
      <c r="A4436" s="9"/>
    </row>
    <row r="4437" spans="1:1">
      <c r="A4437" s="9"/>
    </row>
    <row r="4438" spans="1:1">
      <c r="A4438" s="9"/>
    </row>
    <row r="4439" spans="1:1">
      <c r="A4439" s="9"/>
    </row>
    <row r="4440" spans="1:1">
      <c r="A4440" s="9"/>
    </row>
    <row r="4441" spans="1:1">
      <c r="A4441" s="9"/>
    </row>
    <row r="4442" spans="1:1">
      <c r="A4442" s="9"/>
    </row>
    <row r="4443" spans="1:1">
      <c r="A4443" s="9"/>
    </row>
    <row r="4444" spans="1:1">
      <c r="A4444" s="9"/>
    </row>
    <row r="4445" spans="1:1">
      <c r="A4445" s="9"/>
    </row>
    <row r="4446" spans="1:1">
      <c r="A4446" s="9"/>
    </row>
    <row r="4447" spans="1:1">
      <c r="A4447" s="9"/>
    </row>
    <row r="4448" spans="1:1">
      <c r="A4448" s="9"/>
    </row>
    <row r="4449" spans="1:1">
      <c r="A4449" s="9"/>
    </row>
    <row r="4450" spans="1:1">
      <c r="A4450" s="9"/>
    </row>
    <row r="4451" spans="1:1">
      <c r="A4451" s="9"/>
    </row>
    <row r="4452" spans="1:1">
      <c r="A4452" s="9"/>
    </row>
    <row r="4453" spans="1:1">
      <c r="A4453" s="9"/>
    </row>
    <row r="4454" spans="1:1">
      <c r="A4454" s="9"/>
    </row>
    <row r="4455" spans="1:1">
      <c r="A4455" s="9"/>
    </row>
    <row r="4456" spans="1:1">
      <c r="A4456" s="9"/>
    </row>
    <row r="4457" spans="1:1">
      <c r="A4457" s="9"/>
    </row>
    <row r="4458" spans="1:1">
      <c r="A4458" s="9"/>
    </row>
    <row r="4459" spans="1:1">
      <c r="A4459" s="9"/>
    </row>
    <row r="4460" spans="1:1">
      <c r="A4460" s="9"/>
    </row>
    <row r="4461" spans="1:1">
      <c r="A4461" s="9"/>
    </row>
    <row r="4462" spans="1:1">
      <c r="A4462" s="9"/>
    </row>
    <row r="4463" spans="1:1">
      <c r="A4463" s="9"/>
    </row>
    <row r="4464" spans="1:1">
      <c r="A4464" s="9"/>
    </row>
    <row r="4465" spans="1:1">
      <c r="A4465" s="9"/>
    </row>
    <row r="4466" spans="1:1">
      <c r="A4466" s="9"/>
    </row>
    <row r="4467" spans="1:1">
      <c r="A4467" s="9"/>
    </row>
    <row r="4468" spans="1:1">
      <c r="A4468" s="9"/>
    </row>
    <row r="4469" spans="1:1">
      <c r="A4469" s="9"/>
    </row>
    <row r="4470" spans="1:1">
      <c r="A4470" s="9"/>
    </row>
    <row r="4471" spans="1:1">
      <c r="A4471" s="9"/>
    </row>
    <row r="4472" spans="1:1">
      <c r="A4472" s="9"/>
    </row>
    <row r="4473" spans="1:1">
      <c r="A4473" s="9"/>
    </row>
    <row r="4474" spans="1:1">
      <c r="A4474" s="9"/>
    </row>
    <row r="4475" spans="1:1">
      <c r="A4475" s="9"/>
    </row>
    <row r="4476" spans="1:1">
      <c r="A4476" s="9"/>
    </row>
    <row r="4477" spans="1:1">
      <c r="A4477" s="9"/>
    </row>
    <row r="4478" spans="1:1">
      <c r="A4478" s="9"/>
    </row>
    <row r="4479" spans="1:1">
      <c r="A4479" s="9"/>
    </row>
    <row r="4480" spans="1:1">
      <c r="A4480" s="9"/>
    </row>
    <row r="4481" spans="1:1">
      <c r="A4481" s="9"/>
    </row>
    <row r="4482" spans="1:1">
      <c r="A4482" s="9"/>
    </row>
    <row r="4483" spans="1:1">
      <c r="A4483" s="9"/>
    </row>
    <row r="4484" spans="1:1">
      <c r="A4484" s="9"/>
    </row>
    <row r="4485" spans="1:1">
      <c r="A4485" s="9"/>
    </row>
    <row r="4486" spans="1:1">
      <c r="A4486" s="9"/>
    </row>
    <row r="4487" spans="1:1">
      <c r="A4487" s="9"/>
    </row>
    <row r="4488" spans="1:1">
      <c r="A4488" s="9"/>
    </row>
    <row r="4489" spans="1:1">
      <c r="A4489" s="9"/>
    </row>
    <row r="4490" spans="1:1">
      <c r="A4490" s="9"/>
    </row>
    <row r="4491" spans="1:1">
      <c r="A4491" s="9"/>
    </row>
    <row r="4492" spans="1:1">
      <c r="A4492" s="9"/>
    </row>
    <row r="4493" spans="1:1">
      <c r="A4493" s="9"/>
    </row>
    <row r="4494" spans="1:1">
      <c r="A4494" s="9"/>
    </row>
    <row r="4495" spans="1:1">
      <c r="A4495" s="9"/>
    </row>
    <row r="4496" spans="1:1">
      <c r="A4496" s="9"/>
    </row>
    <row r="4497" spans="1:1">
      <c r="A4497" s="9"/>
    </row>
    <row r="4498" spans="1:1">
      <c r="A4498" s="9"/>
    </row>
    <row r="4499" spans="1:1">
      <c r="A4499" s="9"/>
    </row>
    <row r="4500" spans="1:1">
      <c r="A4500" s="9"/>
    </row>
    <row r="4501" spans="1:1">
      <c r="A4501" s="9"/>
    </row>
    <row r="4502" spans="1:1">
      <c r="A4502" s="9"/>
    </row>
    <row r="4503" spans="1:1">
      <c r="A4503" s="9"/>
    </row>
    <row r="4504" spans="1:1">
      <c r="A4504" s="9"/>
    </row>
    <row r="4505" spans="1:1">
      <c r="A4505" s="9"/>
    </row>
    <row r="4506" spans="1:1">
      <c r="A4506" s="9"/>
    </row>
    <row r="4507" spans="1:1">
      <c r="A4507" s="9"/>
    </row>
    <row r="4508" spans="1:1">
      <c r="A4508" s="9"/>
    </row>
    <row r="4509" spans="1:1">
      <c r="A4509" s="9"/>
    </row>
    <row r="4510" spans="1:1">
      <c r="A4510" s="9"/>
    </row>
    <row r="4511" spans="1:1">
      <c r="A4511" s="9"/>
    </row>
    <row r="4512" spans="1:1">
      <c r="A4512" s="9"/>
    </row>
    <row r="4513" spans="1:1">
      <c r="A4513" s="9"/>
    </row>
    <row r="4514" spans="1:1">
      <c r="A4514" s="9"/>
    </row>
    <row r="4515" spans="1:1">
      <c r="A4515" s="9"/>
    </row>
    <row r="4516" spans="1:1">
      <c r="A4516" s="9"/>
    </row>
    <row r="4517" spans="1:1">
      <c r="A4517" s="9"/>
    </row>
    <row r="4518" spans="1:1">
      <c r="A4518" s="9"/>
    </row>
    <row r="4519" spans="1:1">
      <c r="A4519" s="9"/>
    </row>
    <row r="4520" spans="1:1">
      <c r="A4520" s="9"/>
    </row>
    <row r="4521" spans="1:1">
      <c r="A4521" s="9"/>
    </row>
    <row r="4522" spans="1:1">
      <c r="A4522" s="9"/>
    </row>
    <row r="4523" spans="1:1">
      <c r="A4523" s="9"/>
    </row>
    <row r="4524" spans="1:1">
      <c r="A4524" s="9"/>
    </row>
    <row r="4525" spans="1:1">
      <c r="A4525" s="9"/>
    </row>
    <row r="4526" spans="1:1">
      <c r="A4526" s="9"/>
    </row>
    <row r="4527" spans="1:1">
      <c r="A4527" s="9"/>
    </row>
    <row r="4528" spans="1:1">
      <c r="A4528" s="9"/>
    </row>
    <row r="4529" spans="1:1">
      <c r="A4529" s="9"/>
    </row>
    <row r="4530" spans="1:1">
      <c r="A4530" s="9"/>
    </row>
    <row r="4531" spans="1:1">
      <c r="A4531" s="9"/>
    </row>
    <row r="4532" spans="1:1">
      <c r="A4532" s="9"/>
    </row>
    <row r="4533" spans="1:1">
      <c r="A4533" s="9"/>
    </row>
    <row r="4534" spans="1:1">
      <c r="A4534" s="9"/>
    </row>
    <row r="4535" spans="1:1">
      <c r="A4535" s="9"/>
    </row>
    <row r="4536" spans="1:1">
      <c r="A4536" s="9"/>
    </row>
    <row r="4537" spans="1:1">
      <c r="A4537" s="9"/>
    </row>
    <row r="4538" spans="1:1">
      <c r="A4538" s="9"/>
    </row>
    <row r="4539" spans="1:1">
      <c r="A4539" s="9"/>
    </row>
    <row r="4540" spans="1:1">
      <c r="A4540" s="9"/>
    </row>
    <row r="4541" spans="1:1">
      <c r="A4541" s="9"/>
    </row>
    <row r="4542" spans="1:1">
      <c r="A4542" s="9"/>
    </row>
    <row r="4543" spans="1:1">
      <c r="A4543" s="9"/>
    </row>
    <row r="4544" spans="1:1">
      <c r="A4544" s="9"/>
    </row>
    <row r="4545" spans="1:1">
      <c r="A4545" s="9"/>
    </row>
    <row r="4546" spans="1:1">
      <c r="A4546" s="9"/>
    </row>
    <row r="4547" spans="1:1">
      <c r="A4547" s="9"/>
    </row>
    <row r="4548" spans="1:1">
      <c r="A4548" s="9"/>
    </row>
    <row r="4549" spans="1:1">
      <c r="A4549" s="9"/>
    </row>
    <row r="4550" spans="1:1">
      <c r="A4550" s="9"/>
    </row>
    <row r="4551" spans="1:1">
      <c r="A4551" s="9"/>
    </row>
    <row r="4552" spans="1:1">
      <c r="A4552" s="9"/>
    </row>
    <row r="4553" spans="1:1">
      <c r="A4553" s="9"/>
    </row>
    <row r="4554" spans="1:1">
      <c r="A4554" s="9"/>
    </row>
    <row r="4555" spans="1:1">
      <c r="A4555" s="9"/>
    </row>
    <row r="4556" spans="1:1">
      <c r="A4556" s="9"/>
    </row>
    <row r="4557" spans="1:1">
      <c r="A4557" s="9"/>
    </row>
    <row r="4558" spans="1:1">
      <c r="A4558" s="9"/>
    </row>
    <row r="4559" spans="1:1">
      <c r="A4559" s="9"/>
    </row>
    <row r="4560" spans="1:1">
      <c r="A4560" s="9"/>
    </row>
    <row r="4561" spans="1:1">
      <c r="A4561" s="9"/>
    </row>
    <row r="4562" spans="1:1">
      <c r="A4562" s="9"/>
    </row>
    <row r="4563" spans="1:1">
      <c r="A4563" s="9"/>
    </row>
    <row r="4564" spans="1:1">
      <c r="A4564" s="9"/>
    </row>
    <row r="4565" spans="1:1">
      <c r="A4565" s="9"/>
    </row>
    <row r="4566" spans="1:1">
      <c r="A4566" s="9"/>
    </row>
    <row r="4567" spans="1:1">
      <c r="A4567" s="9"/>
    </row>
    <row r="4568" spans="1:1">
      <c r="A4568" s="9"/>
    </row>
    <row r="4569" spans="1:1">
      <c r="A4569" s="9"/>
    </row>
    <row r="4570" spans="1:1">
      <c r="A4570" s="9"/>
    </row>
    <row r="4571" spans="1:1">
      <c r="A4571" s="9"/>
    </row>
    <row r="4572" spans="1:1">
      <c r="A4572" s="9"/>
    </row>
    <row r="4573" spans="1:1">
      <c r="A4573" s="9"/>
    </row>
    <row r="4574" spans="1:1">
      <c r="A4574" s="9"/>
    </row>
    <row r="4575" spans="1:1">
      <c r="A4575" s="9"/>
    </row>
    <row r="4576" spans="1:1">
      <c r="A4576" s="9"/>
    </row>
    <row r="4577" spans="1:1">
      <c r="A4577" s="9"/>
    </row>
    <row r="4578" spans="1:1">
      <c r="A4578" s="9"/>
    </row>
    <row r="4579" spans="1:1">
      <c r="A4579" s="9"/>
    </row>
    <row r="4580" spans="1:1">
      <c r="A4580" s="9"/>
    </row>
    <row r="4581" spans="1:1">
      <c r="A4581" s="9"/>
    </row>
    <row r="4582" spans="1:1">
      <c r="A4582" s="9"/>
    </row>
    <row r="4583" spans="1:1">
      <c r="A4583" s="9"/>
    </row>
    <row r="4584" spans="1:1">
      <c r="A4584" s="9"/>
    </row>
    <row r="4585" spans="1:1">
      <c r="A4585" s="9"/>
    </row>
    <row r="4586" spans="1:1">
      <c r="A4586" s="9"/>
    </row>
    <row r="4587" spans="1:1">
      <c r="A4587" s="9"/>
    </row>
    <row r="4588" spans="1:1">
      <c r="A4588" s="9"/>
    </row>
    <row r="4589" spans="1:1">
      <c r="A4589" s="9"/>
    </row>
    <row r="4590" spans="1:1">
      <c r="A4590" s="9"/>
    </row>
    <row r="4591" spans="1:1">
      <c r="A4591" s="9"/>
    </row>
    <row r="4592" spans="1:1">
      <c r="A4592" s="9"/>
    </row>
    <row r="4593" spans="1:1">
      <c r="A4593" s="9"/>
    </row>
    <row r="4594" spans="1:1">
      <c r="A4594" s="9"/>
    </row>
    <row r="4595" spans="1:1">
      <c r="A4595" s="9"/>
    </row>
    <row r="4596" spans="1:1">
      <c r="A4596" s="9"/>
    </row>
    <row r="4597" spans="1:1">
      <c r="A4597" s="9"/>
    </row>
    <row r="4598" spans="1:1">
      <c r="A4598" s="9"/>
    </row>
    <row r="4599" spans="1:1">
      <c r="A4599" s="9"/>
    </row>
    <row r="4600" spans="1:1">
      <c r="A4600" s="9"/>
    </row>
    <row r="4601" spans="1:1">
      <c r="A4601" s="9"/>
    </row>
    <row r="4602" spans="1:1">
      <c r="A4602" s="9"/>
    </row>
    <row r="4603" spans="1:1">
      <c r="A4603" s="9"/>
    </row>
    <row r="4604" spans="1:1">
      <c r="A4604" s="9"/>
    </row>
    <row r="4605" spans="1:1">
      <c r="A4605" s="9"/>
    </row>
    <row r="4606" spans="1:1">
      <c r="A4606" s="9"/>
    </row>
    <row r="4607" spans="1:1">
      <c r="A4607" s="9"/>
    </row>
    <row r="4608" spans="1:1">
      <c r="A4608" s="9"/>
    </row>
    <row r="4609" spans="1:1">
      <c r="A4609" s="9"/>
    </row>
    <row r="4610" spans="1:1">
      <c r="A4610" s="9"/>
    </row>
    <row r="4611" spans="1:1">
      <c r="A4611" s="9"/>
    </row>
    <row r="4612" spans="1:1">
      <c r="A4612" s="9"/>
    </row>
    <row r="4613" spans="1:1">
      <c r="A4613" s="9"/>
    </row>
    <row r="4614" spans="1:1">
      <c r="A4614" s="9"/>
    </row>
    <row r="4615" spans="1:1">
      <c r="A4615" s="9"/>
    </row>
    <row r="4616" spans="1:1">
      <c r="A4616" s="9"/>
    </row>
    <row r="4617" spans="1:1">
      <c r="A4617" s="9"/>
    </row>
    <row r="4618" spans="1:1">
      <c r="A4618" s="9"/>
    </row>
    <row r="4619" spans="1:1">
      <c r="A4619" s="9"/>
    </row>
    <row r="4620" spans="1:1">
      <c r="A4620" s="9"/>
    </row>
    <row r="4621" spans="1:1">
      <c r="A4621" s="9"/>
    </row>
    <row r="4622" spans="1:1">
      <c r="A4622" s="9"/>
    </row>
    <row r="4623" spans="1:1">
      <c r="A4623" s="9"/>
    </row>
    <row r="4624" spans="1:1">
      <c r="A4624" s="9"/>
    </row>
    <row r="4625" spans="1:1">
      <c r="A4625" s="9"/>
    </row>
    <row r="4626" spans="1:1">
      <c r="A4626" s="9"/>
    </row>
    <row r="4627" spans="1:1">
      <c r="A4627" s="9"/>
    </row>
    <row r="4628" spans="1:1">
      <c r="A4628" s="9"/>
    </row>
    <row r="4629" spans="1:1">
      <c r="A4629" s="9"/>
    </row>
    <row r="4630" spans="1:1">
      <c r="A4630" s="9"/>
    </row>
    <row r="4631" spans="1:1">
      <c r="A4631" s="9"/>
    </row>
    <row r="4632" spans="1:1">
      <c r="A4632" s="9"/>
    </row>
    <row r="4633" spans="1:1">
      <c r="A4633" s="9"/>
    </row>
    <row r="4634" spans="1:1">
      <c r="A4634" s="9"/>
    </row>
    <row r="4635" spans="1:1">
      <c r="A4635" s="9"/>
    </row>
    <row r="4636" spans="1:1">
      <c r="A4636" s="9"/>
    </row>
    <row r="4637" spans="1:1">
      <c r="A4637" s="9"/>
    </row>
    <row r="4638" spans="1:1">
      <c r="A4638" s="9"/>
    </row>
    <row r="4639" spans="1:1">
      <c r="A4639" s="9"/>
    </row>
    <row r="4640" spans="1:1">
      <c r="A4640" s="9"/>
    </row>
    <row r="4641" spans="1:1">
      <c r="A4641" s="9"/>
    </row>
    <row r="4642" spans="1:1">
      <c r="A4642" s="9"/>
    </row>
    <row r="4643" spans="1:1">
      <c r="A4643" s="9"/>
    </row>
    <row r="4644" spans="1:1">
      <c r="A4644" s="9"/>
    </row>
    <row r="4645" spans="1:1">
      <c r="A4645" s="9"/>
    </row>
    <row r="4646" spans="1:1">
      <c r="A4646" s="9"/>
    </row>
    <row r="4647" spans="1:1">
      <c r="A4647" s="9"/>
    </row>
    <row r="4648" spans="1:1">
      <c r="A4648" s="9"/>
    </row>
    <row r="4649" spans="1:1">
      <c r="A4649" s="9"/>
    </row>
    <row r="4650" spans="1:1">
      <c r="A4650" s="9"/>
    </row>
    <row r="4651" spans="1:1">
      <c r="A4651" s="9"/>
    </row>
    <row r="4652" spans="1:1">
      <c r="A4652" s="9"/>
    </row>
    <row r="4653" spans="1:1">
      <c r="A4653" s="9"/>
    </row>
    <row r="4654" spans="1:1">
      <c r="A4654" s="9"/>
    </row>
    <row r="4655" spans="1:1">
      <c r="A4655" s="9"/>
    </row>
    <row r="4656" spans="1:1">
      <c r="A4656" s="9"/>
    </row>
    <row r="4657" spans="1:1">
      <c r="A4657" s="9"/>
    </row>
    <row r="4658" spans="1:1">
      <c r="A4658" s="9"/>
    </row>
    <row r="4659" spans="1:1">
      <c r="A4659" s="9"/>
    </row>
    <row r="4660" spans="1:1">
      <c r="A4660" s="9"/>
    </row>
    <row r="4661" spans="1:1">
      <c r="A4661" s="9"/>
    </row>
    <row r="4662" spans="1:1">
      <c r="A4662" s="9"/>
    </row>
    <row r="4663" spans="1:1">
      <c r="A4663" s="9"/>
    </row>
    <row r="4664" spans="1:1">
      <c r="A4664" s="9"/>
    </row>
    <row r="4665" spans="1:1">
      <c r="A4665" s="9"/>
    </row>
    <row r="4666" spans="1:1">
      <c r="A4666" s="9"/>
    </row>
    <row r="4667" spans="1:1">
      <c r="A4667" s="9"/>
    </row>
    <row r="4668" spans="1:1">
      <c r="A4668" s="9"/>
    </row>
    <row r="4669" spans="1:1">
      <c r="A4669" s="9"/>
    </row>
    <row r="4670" spans="1:1">
      <c r="A4670" s="9"/>
    </row>
    <row r="4671" spans="1:1">
      <c r="A4671" s="9"/>
    </row>
    <row r="4672" spans="1:1">
      <c r="A4672" s="9"/>
    </row>
    <row r="4673" spans="1:1">
      <c r="A4673" s="9"/>
    </row>
    <row r="4674" spans="1:1">
      <c r="A4674" s="9"/>
    </row>
    <row r="4675" spans="1:1">
      <c r="A4675" s="9"/>
    </row>
    <row r="4676" spans="1:1">
      <c r="A4676" s="9"/>
    </row>
    <row r="4677" spans="1:1">
      <c r="A4677" s="9"/>
    </row>
    <row r="4678" spans="1:1">
      <c r="A4678" s="9"/>
    </row>
    <row r="4679" spans="1:1">
      <c r="A4679" s="9"/>
    </row>
    <row r="4680" spans="1:1">
      <c r="A4680" s="9"/>
    </row>
    <row r="4681" spans="1:1">
      <c r="A4681" s="9"/>
    </row>
    <row r="4682" spans="1:1">
      <c r="A4682" s="9"/>
    </row>
    <row r="4683" spans="1:1">
      <c r="A4683" s="9"/>
    </row>
    <row r="4684" spans="1:1">
      <c r="A4684" s="9"/>
    </row>
    <row r="4685" spans="1:1">
      <c r="A4685" s="9"/>
    </row>
    <row r="4686" spans="1:1">
      <c r="A4686" s="9"/>
    </row>
    <row r="4687" spans="1:1">
      <c r="A4687" s="9"/>
    </row>
    <row r="4688" spans="1:1">
      <c r="A4688" s="9"/>
    </row>
    <row r="4689" spans="1:1">
      <c r="A4689" s="9"/>
    </row>
    <row r="4690" spans="1:1">
      <c r="A4690" s="9"/>
    </row>
    <row r="4691" spans="1:1">
      <c r="A4691" s="9"/>
    </row>
    <row r="4692" spans="1:1">
      <c r="A4692" s="9"/>
    </row>
    <row r="4693" spans="1:1">
      <c r="A4693" s="9"/>
    </row>
    <row r="4694" spans="1:1">
      <c r="A4694" s="9"/>
    </row>
    <row r="4695" spans="1:1">
      <c r="A4695" s="9"/>
    </row>
    <row r="4696" spans="1:1">
      <c r="A4696" s="9"/>
    </row>
    <row r="4697" spans="1:1">
      <c r="A4697" s="9"/>
    </row>
    <row r="4698" spans="1:1">
      <c r="A4698" s="9"/>
    </row>
    <row r="4699" spans="1:1">
      <c r="A4699" s="9"/>
    </row>
    <row r="4700" spans="1:1">
      <c r="A4700" s="9"/>
    </row>
    <row r="4701" spans="1:1">
      <c r="A4701" s="9"/>
    </row>
    <row r="4702" spans="1:1">
      <c r="A4702" s="9"/>
    </row>
    <row r="4703" spans="1:1">
      <c r="A4703" s="9"/>
    </row>
    <row r="4704" spans="1:1">
      <c r="A4704" s="9"/>
    </row>
    <row r="4705" spans="1:1">
      <c r="A4705" s="9"/>
    </row>
    <row r="4706" spans="1:1">
      <c r="A4706" s="9"/>
    </row>
    <row r="4707" spans="1:1">
      <c r="A4707" s="9"/>
    </row>
    <row r="4708" spans="1:1">
      <c r="A4708" s="9"/>
    </row>
    <row r="4709" spans="1:1">
      <c r="A4709" s="9"/>
    </row>
    <row r="4710" spans="1:1">
      <c r="A4710" s="9"/>
    </row>
    <row r="4711" spans="1:1">
      <c r="A4711" s="9"/>
    </row>
    <row r="4712" spans="1:1">
      <c r="A4712" s="9"/>
    </row>
    <row r="4713" spans="1:1">
      <c r="A4713" s="9"/>
    </row>
    <row r="4714" spans="1:1">
      <c r="A4714" s="9"/>
    </row>
    <row r="4715" spans="1:1">
      <c r="A4715" s="9"/>
    </row>
    <row r="4716" spans="1:1">
      <c r="A4716" s="9"/>
    </row>
    <row r="4717" spans="1:1">
      <c r="A4717" s="9"/>
    </row>
    <row r="4718" spans="1:1">
      <c r="A4718" s="9"/>
    </row>
    <row r="4719" spans="1:1">
      <c r="A4719" s="9"/>
    </row>
    <row r="4720" spans="1:1">
      <c r="A4720" s="9"/>
    </row>
    <row r="4721" spans="1:1">
      <c r="A4721" s="9"/>
    </row>
    <row r="4722" spans="1:1">
      <c r="A4722" s="9"/>
    </row>
    <row r="4723" spans="1:1">
      <c r="A4723" s="9"/>
    </row>
    <row r="4724" spans="1:1">
      <c r="A4724" s="9"/>
    </row>
    <row r="4725" spans="1:1">
      <c r="A4725" s="9"/>
    </row>
    <row r="4726" spans="1:1">
      <c r="A4726" s="9"/>
    </row>
    <row r="4727" spans="1:1">
      <c r="A4727" s="9"/>
    </row>
    <row r="4728" spans="1:1">
      <c r="A4728" s="9"/>
    </row>
    <row r="4729" spans="1:1">
      <c r="A4729" s="9"/>
    </row>
    <row r="4730" spans="1:1">
      <c r="A4730" s="9"/>
    </row>
    <row r="4731" spans="1:1">
      <c r="A4731" s="9"/>
    </row>
    <row r="4732" spans="1:1">
      <c r="A4732" s="9"/>
    </row>
    <row r="4733" spans="1:1">
      <c r="A4733" s="9"/>
    </row>
    <row r="4734" spans="1:1">
      <c r="A4734" s="9"/>
    </row>
    <row r="4735" spans="1:1">
      <c r="A4735" s="9"/>
    </row>
    <row r="4736" spans="1:1">
      <c r="A4736" s="9"/>
    </row>
    <row r="4737" spans="1:1">
      <c r="A4737" s="9"/>
    </row>
    <row r="4738" spans="1:1">
      <c r="A4738" s="9"/>
    </row>
    <row r="4739" spans="1:1">
      <c r="A4739" s="9"/>
    </row>
    <row r="4740" spans="1:1">
      <c r="A4740" s="9"/>
    </row>
    <row r="4741" spans="1:1">
      <c r="A4741" s="9"/>
    </row>
    <row r="4742" spans="1:1">
      <c r="A4742" s="9"/>
    </row>
    <row r="4743" spans="1:1">
      <c r="A4743" s="9"/>
    </row>
    <row r="4744" spans="1:1">
      <c r="A4744" s="9"/>
    </row>
    <row r="4745" spans="1:1">
      <c r="A4745" s="9"/>
    </row>
    <row r="4746" spans="1:1">
      <c r="A4746" s="9"/>
    </row>
    <row r="4747" spans="1:1">
      <c r="A4747" s="9"/>
    </row>
    <row r="4748" spans="1:1">
      <c r="A4748" s="9"/>
    </row>
    <row r="4749" spans="1:1">
      <c r="A4749" s="9"/>
    </row>
    <row r="4750" spans="1:1">
      <c r="A4750" s="9"/>
    </row>
    <row r="4751" spans="1:1">
      <c r="A4751" s="9"/>
    </row>
    <row r="4752" spans="1:1">
      <c r="A4752" s="9"/>
    </row>
    <row r="4753" spans="1:1">
      <c r="A4753" s="9"/>
    </row>
    <row r="4754" spans="1:1">
      <c r="A4754" s="9"/>
    </row>
    <row r="4755" spans="1:1">
      <c r="A4755" s="9"/>
    </row>
    <row r="4756" spans="1:1">
      <c r="A4756" s="9"/>
    </row>
    <row r="4757" spans="1:1">
      <c r="A4757" s="9"/>
    </row>
    <row r="4758" spans="1:1">
      <c r="A4758" s="9"/>
    </row>
    <row r="4759" spans="1:1">
      <c r="A4759" s="9"/>
    </row>
    <row r="4760" spans="1:1">
      <c r="A4760" s="9"/>
    </row>
    <row r="4761" spans="1:1">
      <c r="A4761" s="9"/>
    </row>
    <row r="4762" spans="1:1">
      <c r="A4762" s="9"/>
    </row>
    <row r="4763" spans="1:1">
      <c r="A4763" s="9"/>
    </row>
    <row r="4764" spans="1:1">
      <c r="A4764" s="9"/>
    </row>
    <row r="4765" spans="1:1">
      <c r="A4765" s="9"/>
    </row>
    <row r="4766" spans="1:1">
      <c r="A4766" s="9"/>
    </row>
    <row r="4767" spans="1:1">
      <c r="A4767" s="9"/>
    </row>
    <row r="4768" spans="1:1">
      <c r="A4768" s="9"/>
    </row>
    <row r="4769" spans="1:1">
      <c r="A4769" s="9"/>
    </row>
    <row r="4770" spans="1:1">
      <c r="A4770" s="9"/>
    </row>
    <row r="4771" spans="1:1">
      <c r="A4771" s="9"/>
    </row>
    <row r="4772" spans="1:1">
      <c r="A4772" s="9"/>
    </row>
    <row r="4773" spans="1:1">
      <c r="A4773" s="9"/>
    </row>
    <row r="4774" spans="1:1">
      <c r="A4774" s="9"/>
    </row>
    <row r="4775" spans="1:1">
      <c r="A4775" s="9"/>
    </row>
    <row r="4776" spans="1:1">
      <c r="A4776" s="9"/>
    </row>
    <row r="4777" spans="1:1">
      <c r="A4777" s="9"/>
    </row>
    <row r="4778" spans="1:1">
      <c r="A4778" s="9"/>
    </row>
    <row r="4779" spans="1:1">
      <c r="A4779" s="9"/>
    </row>
    <row r="4780" spans="1:1">
      <c r="A4780" s="9"/>
    </row>
    <row r="4781" spans="1:1">
      <c r="A4781" s="9"/>
    </row>
    <row r="4782" spans="1:1">
      <c r="A4782" s="9"/>
    </row>
    <row r="4783" spans="1:1">
      <c r="A4783" s="9"/>
    </row>
    <row r="4784" spans="1:1">
      <c r="A4784" s="9"/>
    </row>
    <row r="4785" spans="1:1">
      <c r="A4785" s="9"/>
    </row>
    <row r="4786" spans="1:1">
      <c r="A4786" s="9"/>
    </row>
    <row r="4787" spans="1:1">
      <c r="A4787" s="9"/>
    </row>
    <row r="4788" spans="1:1">
      <c r="A4788" s="9"/>
    </row>
    <row r="4789" spans="1:1">
      <c r="A4789" s="9"/>
    </row>
    <row r="4790" spans="1:1">
      <c r="A4790" s="9"/>
    </row>
    <row r="4791" spans="1:1">
      <c r="A4791" s="9"/>
    </row>
    <row r="4792" spans="1:1">
      <c r="A4792" s="9"/>
    </row>
    <row r="4793" spans="1:1">
      <c r="A4793" s="9"/>
    </row>
    <row r="4794" spans="1:1">
      <c r="A4794" s="9"/>
    </row>
    <row r="4795" spans="1:1">
      <c r="A4795" s="9"/>
    </row>
    <row r="4796" spans="1:1">
      <c r="A4796" s="9"/>
    </row>
    <row r="4797" spans="1:1">
      <c r="A4797" s="9"/>
    </row>
    <row r="4798" spans="1:1">
      <c r="A4798" s="9"/>
    </row>
    <row r="4799" spans="1:1">
      <c r="A4799" s="9"/>
    </row>
    <row r="4800" spans="1:1">
      <c r="A4800" s="9"/>
    </row>
    <row r="4801" spans="1:1">
      <c r="A4801" s="9"/>
    </row>
    <row r="4802" spans="1:1">
      <c r="A4802" s="9"/>
    </row>
    <row r="4803" spans="1:1">
      <c r="A4803" s="9"/>
    </row>
    <row r="4804" spans="1:1">
      <c r="A4804" s="9"/>
    </row>
    <row r="4805" spans="1:1">
      <c r="A4805" s="9"/>
    </row>
    <row r="4806" spans="1:1">
      <c r="A4806" s="9"/>
    </row>
    <row r="4807" spans="1:1">
      <c r="A4807" s="9"/>
    </row>
    <row r="4808" spans="1:1">
      <c r="A4808" s="9"/>
    </row>
    <row r="4809" spans="1:1">
      <c r="A4809" s="9"/>
    </row>
    <row r="4810" spans="1:1">
      <c r="A4810" s="9"/>
    </row>
    <row r="4811" spans="1:1">
      <c r="A4811" s="9"/>
    </row>
    <row r="4812" spans="1:1">
      <c r="A4812" s="9"/>
    </row>
    <row r="4813" spans="1:1">
      <c r="A4813" s="9"/>
    </row>
    <row r="4814" spans="1:1">
      <c r="A4814" s="9"/>
    </row>
    <row r="4815" spans="1:1">
      <c r="A4815" s="9"/>
    </row>
    <row r="4816" spans="1:1">
      <c r="A4816" s="9"/>
    </row>
    <row r="4817" spans="1:1">
      <c r="A4817" s="9"/>
    </row>
    <row r="4818" spans="1:1">
      <c r="A4818" s="9"/>
    </row>
    <row r="4819" spans="1:1">
      <c r="A4819" s="9"/>
    </row>
    <row r="4820" spans="1:1">
      <c r="A4820" s="9"/>
    </row>
    <row r="4821" spans="1:1">
      <c r="A4821" s="9"/>
    </row>
    <row r="4822" spans="1:1">
      <c r="A4822" s="9"/>
    </row>
    <row r="4823" spans="1:1">
      <c r="A4823" s="9"/>
    </row>
    <row r="4824" spans="1:1">
      <c r="A4824" s="9"/>
    </row>
    <row r="4825" spans="1:1">
      <c r="A4825" s="9"/>
    </row>
    <row r="4826" spans="1:1">
      <c r="A4826" s="9"/>
    </row>
    <row r="4827" spans="1:1">
      <c r="A4827" s="9"/>
    </row>
    <row r="4828" spans="1:1">
      <c r="A4828" s="9"/>
    </row>
    <row r="4829" spans="1:1">
      <c r="A4829" s="9"/>
    </row>
    <row r="4830" spans="1:1">
      <c r="A4830" s="9"/>
    </row>
    <row r="4831" spans="1:1">
      <c r="A4831" s="9"/>
    </row>
    <row r="4832" spans="1:1">
      <c r="A4832" s="9"/>
    </row>
    <row r="4833" spans="1:1">
      <c r="A4833" s="9"/>
    </row>
    <row r="4834" spans="1:1">
      <c r="A4834" s="9"/>
    </row>
    <row r="4835" spans="1:1">
      <c r="A4835" s="9"/>
    </row>
    <row r="4836" spans="1:1">
      <c r="A4836" s="9"/>
    </row>
    <row r="4837" spans="1:1">
      <c r="A4837" s="9"/>
    </row>
    <row r="4838" spans="1:1">
      <c r="A4838" s="9"/>
    </row>
    <row r="4839" spans="1:1">
      <c r="A4839" s="9"/>
    </row>
    <row r="4840" spans="1:1">
      <c r="A4840" s="9"/>
    </row>
    <row r="4841" spans="1:1">
      <c r="A4841" s="9"/>
    </row>
    <row r="4842" spans="1:1">
      <c r="A4842" s="9"/>
    </row>
    <row r="4843" spans="1:1">
      <c r="A4843" s="9"/>
    </row>
    <row r="4844" spans="1:1">
      <c r="A4844" s="9"/>
    </row>
    <row r="4845" spans="1:1">
      <c r="A4845" s="9"/>
    </row>
    <row r="4846" spans="1:1">
      <c r="A4846" s="9"/>
    </row>
    <row r="4847" spans="1:1">
      <c r="A4847" s="9"/>
    </row>
    <row r="4848" spans="1:1">
      <c r="A4848" s="9"/>
    </row>
    <row r="4849" spans="1:1">
      <c r="A4849" s="9"/>
    </row>
    <row r="4850" spans="1:1">
      <c r="A4850" s="9"/>
    </row>
    <row r="4851" spans="1:1">
      <c r="A4851" s="9"/>
    </row>
    <row r="4852" spans="1:1">
      <c r="A4852" s="9"/>
    </row>
    <row r="4853" spans="1:1">
      <c r="A4853" s="9"/>
    </row>
    <row r="4854" spans="1:1">
      <c r="A4854" s="9"/>
    </row>
    <row r="4855" spans="1:1">
      <c r="A4855" s="9"/>
    </row>
    <row r="4856" spans="1:1">
      <c r="A4856" s="9"/>
    </row>
    <row r="4857" spans="1:1">
      <c r="A4857" s="9"/>
    </row>
    <row r="4858" spans="1:1">
      <c r="A4858" s="9"/>
    </row>
    <row r="4859" spans="1:1">
      <c r="A4859" s="9"/>
    </row>
    <row r="4860" spans="1:1">
      <c r="A4860" s="9"/>
    </row>
    <row r="4861" spans="1:1">
      <c r="A4861" s="9"/>
    </row>
    <row r="4862" spans="1:1">
      <c r="A4862" s="9"/>
    </row>
    <row r="4863" spans="1:1">
      <c r="A4863" s="9"/>
    </row>
    <row r="4864" spans="1:1">
      <c r="A4864" s="9"/>
    </row>
    <row r="4865" spans="1:1">
      <c r="A4865" s="9"/>
    </row>
    <row r="4866" spans="1:1">
      <c r="A4866" s="9"/>
    </row>
    <row r="4867" spans="1:1">
      <c r="A4867" s="9"/>
    </row>
    <row r="4868" spans="1:1">
      <c r="A4868" s="9"/>
    </row>
    <row r="4869" spans="1:1">
      <c r="A4869" s="9"/>
    </row>
    <row r="4870" spans="1:1">
      <c r="A4870" s="9"/>
    </row>
    <row r="4871" spans="1:1">
      <c r="A4871" s="9"/>
    </row>
    <row r="4872" spans="1:1">
      <c r="A4872" s="9"/>
    </row>
    <row r="4873" spans="1:1">
      <c r="A4873" s="9"/>
    </row>
    <row r="4874" spans="1:1">
      <c r="A4874" s="9"/>
    </row>
    <row r="4875" spans="1:1">
      <c r="A4875" s="9"/>
    </row>
    <row r="4876" spans="1:1">
      <c r="A4876" s="9"/>
    </row>
    <row r="4877" spans="1:1">
      <c r="A4877" s="9"/>
    </row>
    <row r="4878" spans="1:1">
      <c r="A4878" s="9"/>
    </row>
    <row r="4879" spans="1:1">
      <c r="A4879" s="9"/>
    </row>
    <row r="4880" spans="1:1">
      <c r="A4880" s="9"/>
    </row>
    <row r="4881" spans="1:1">
      <c r="A4881" s="9"/>
    </row>
    <row r="4882" spans="1:1">
      <c r="A4882" s="9"/>
    </row>
    <row r="4883" spans="1:1">
      <c r="A4883" s="9"/>
    </row>
    <row r="4884" spans="1:1">
      <c r="A4884" s="9"/>
    </row>
    <row r="4885" spans="1:1">
      <c r="A4885" s="9"/>
    </row>
    <row r="4886" spans="1:1">
      <c r="A4886" s="9"/>
    </row>
    <row r="4887" spans="1:1">
      <c r="A4887" s="9"/>
    </row>
    <row r="4888" spans="1:1">
      <c r="A4888" s="9"/>
    </row>
    <row r="4889" spans="1:1">
      <c r="A4889" s="9"/>
    </row>
    <row r="4890" spans="1:1">
      <c r="A4890" s="9"/>
    </row>
    <row r="4891" spans="1:1">
      <c r="A4891" s="9"/>
    </row>
    <row r="4892" spans="1:1">
      <c r="A4892" s="9"/>
    </row>
    <row r="4893" spans="1:1">
      <c r="A4893" s="9"/>
    </row>
    <row r="4894" spans="1:1">
      <c r="A4894" s="9"/>
    </row>
    <row r="4895" spans="1:1">
      <c r="A4895" s="9"/>
    </row>
    <row r="4896" spans="1:1">
      <c r="A4896" s="9"/>
    </row>
    <row r="4897" spans="1:1">
      <c r="A4897" s="9"/>
    </row>
    <row r="4898" spans="1:1">
      <c r="A4898" s="9"/>
    </row>
    <row r="4899" spans="1:1">
      <c r="A4899" s="9"/>
    </row>
    <row r="4900" spans="1:1">
      <c r="A4900" s="9"/>
    </row>
    <row r="4901" spans="1:1">
      <c r="A4901" s="9"/>
    </row>
    <row r="4902" spans="1:1">
      <c r="A4902" s="9"/>
    </row>
    <row r="4903" spans="1:1">
      <c r="A4903" s="9"/>
    </row>
    <row r="4904" spans="1:1">
      <c r="A4904" s="9"/>
    </row>
    <row r="4905" spans="1:1">
      <c r="A4905" s="9"/>
    </row>
    <row r="4906" spans="1:1">
      <c r="A4906" s="9"/>
    </row>
    <row r="4907" spans="1:1">
      <c r="A4907" s="9"/>
    </row>
    <row r="4908" spans="1:1">
      <c r="A4908" s="9"/>
    </row>
    <row r="4909" spans="1:1">
      <c r="A4909" s="9"/>
    </row>
    <row r="4910" spans="1:1">
      <c r="A4910" s="9"/>
    </row>
    <row r="4911" spans="1:1">
      <c r="A4911" s="9"/>
    </row>
    <row r="4912" spans="1:1">
      <c r="A4912" s="9"/>
    </row>
    <row r="4913" spans="1:1">
      <c r="A4913" s="9"/>
    </row>
    <row r="4914" spans="1:1">
      <c r="A4914" s="9"/>
    </row>
    <row r="4915" spans="1:1">
      <c r="A4915" s="9"/>
    </row>
    <row r="4916" spans="1:1">
      <c r="A4916" s="9"/>
    </row>
    <row r="4917" spans="1:1">
      <c r="A4917" s="9"/>
    </row>
    <row r="4918" spans="1:1">
      <c r="A4918" s="9"/>
    </row>
    <row r="4919" spans="1:1">
      <c r="A4919" s="9"/>
    </row>
    <row r="4920" spans="1:1">
      <c r="A4920" s="9"/>
    </row>
    <row r="4921" spans="1:1">
      <c r="A4921" s="9"/>
    </row>
    <row r="4922" spans="1:1">
      <c r="A4922" s="9"/>
    </row>
    <row r="4923" spans="1:1">
      <c r="A4923" s="9"/>
    </row>
    <row r="4924" spans="1:1">
      <c r="A4924" s="9"/>
    </row>
    <row r="4925" spans="1:1">
      <c r="A4925" s="9"/>
    </row>
    <row r="4926" spans="1:1">
      <c r="A4926" s="9"/>
    </row>
    <row r="4927" spans="1:1">
      <c r="A4927" s="9"/>
    </row>
    <row r="4928" spans="1:1">
      <c r="A4928" s="9"/>
    </row>
    <row r="4929" spans="1:1">
      <c r="A4929" s="9"/>
    </row>
    <row r="4930" spans="1:1">
      <c r="A4930" s="9"/>
    </row>
    <row r="4931" spans="1:1">
      <c r="A4931" s="9"/>
    </row>
    <row r="4932" spans="1:1">
      <c r="A4932" s="9"/>
    </row>
    <row r="4933" spans="1:1">
      <c r="A4933" s="9"/>
    </row>
    <row r="4934" spans="1:1">
      <c r="A4934" s="9"/>
    </row>
    <row r="4935" spans="1:1">
      <c r="A4935" s="9"/>
    </row>
    <row r="4936" spans="1:1">
      <c r="A4936" s="9"/>
    </row>
    <row r="4937" spans="1:1">
      <c r="A4937" s="9"/>
    </row>
    <row r="4938" spans="1:1">
      <c r="A4938" s="9"/>
    </row>
    <row r="4939" spans="1:1">
      <c r="A4939" s="9"/>
    </row>
    <row r="4940" spans="1:1">
      <c r="A4940" s="9"/>
    </row>
    <row r="4941" spans="1:1">
      <c r="A4941" s="9"/>
    </row>
    <row r="4942" spans="1:1">
      <c r="A4942" s="9"/>
    </row>
    <row r="4943" spans="1:1">
      <c r="A4943" s="9"/>
    </row>
    <row r="4944" spans="1:1">
      <c r="A4944" s="9"/>
    </row>
    <row r="4945" spans="1:1">
      <c r="A4945" s="9"/>
    </row>
    <row r="4946" spans="1:1">
      <c r="A4946" s="9"/>
    </row>
    <row r="4947" spans="1:1">
      <c r="A4947" s="9"/>
    </row>
    <row r="4948" spans="1:1">
      <c r="A4948" s="9"/>
    </row>
    <row r="4949" spans="1:1">
      <c r="A4949" s="9"/>
    </row>
    <row r="4950" spans="1:1">
      <c r="A4950" s="9"/>
    </row>
    <row r="4951" spans="1:1">
      <c r="A4951" s="9"/>
    </row>
    <row r="4952" spans="1:1">
      <c r="A4952" s="9"/>
    </row>
    <row r="4953" spans="1:1">
      <c r="A4953" s="9"/>
    </row>
    <row r="4954" spans="1:1">
      <c r="A4954" s="9"/>
    </row>
    <row r="4955" spans="1:1">
      <c r="A4955" s="9"/>
    </row>
    <row r="4956" spans="1:1">
      <c r="A4956" s="9"/>
    </row>
    <row r="4957" spans="1:1">
      <c r="A4957" s="9"/>
    </row>
    <row r="4958" spans="1:1">
      <c r="A4958" s="9"/>
    </row>
    <row r="4959" spans="1:1">
      <c r="A4959" s="9"/>
    </row>
    <row r="4960" spans="1:1">
      <c r="A4960" s="9"/>
    </row>
    <row r="4961" spans="1:1">
      <c r="A4961" s="9"/>
    </row>
    <row r="4962" spans="1:1">
      <c r="A4962" s="9"/>
    </row>
    <row r="4963" spans="1:1">
      <c r="A4963" s="9"/>
    </row>
    <row r="4964" spans="1:1">
      <c r="A4964" s="9"/>
    </row>
    <row r="4965" spans="1:1">
      <c r="A4965" s="9"/>
    </row>
    <row r="4966" spans="1:1">
      <c r="A4966" s="9"/>
    </row>
    <row r="4967" spans="1:1">
      <c r="A4967" s="9"/>
    </row>
    <row r="4968" spans="1:1">
      <c r="A4968" s="9"/>
    </row>
    <row r="4969" spans="1:1">
      <c r="A4969" s="9"/>
    </row>
    <row r="4970" spans="1:1">
      <c r="A4970" s="9"/>
    </row>
    <row r="4971" spans="1:1">
      <c r="A4971" s="9"/>
    </row>
    <row r="4972" spans="1:1">
      <c r="A4972" s="9"/>
    </row>
    <row r="4973" spans="1:1">
      <c r="A4973" s="9"/>
    </row>
    <row r="4974" spans="1:1">
      <c r="A4974" s="9"/>
    </row>
    <row r="4975" spans="1:1">
      <c r="A4975" s="9"/>
    </row>
    <row r="4976" spans="1:1">
      <c r="A4976" s="9"/>
    </row>
    <row r="4977" spans="1:1">
      <c r="A4977" s="9"/>
    </row>
    <row r="4978" spans="1:1">
      <c r="A4978" s="9"/>
    </row>
    <row r="4979" spans="1:1">
      <c r="A4979" s="9"/>
    </row>
    <row r="4980" spans="1:1">
      <c r="A4980" s="9"/>
    </row>
    <row r="4981" spans="1:1">
      <c r="A4981" s="9"/>
    </row>
    <row r="4982" spans="1:1">
      <c r="A4982" s="9"/>
    </row>
    <row r="4983" spans="1:1">
      <c r="A4983" s="9"/>
    </row>
    <row r="4984" spans="1:1">
      <c r="A4984" s="9"/>
    </row>
    <row r="4985" spans="1:1">
      <c r="A4985" s="9"/>
    </row>
    <row r="4986" spans="1:1">
      <c r="A4986" s="9"/>
    </row>
    <row r="4987" spans="1:1">
      <c r="A4987" s="9"/>
    </row>
    <row r="4988" spans="1:1">
      <c r="A4988" s="9"/>
    </row>
    <row r="4989" spans="1:1">
      <c r="A4989" s="9"/>
    </row>
    <row r="4990" spans="1:1">
      <c r="A4990" s="9"/>
    </row>
    <row r="4991" spans="1:1">
      <c r="A4991" s="9"/>
    </row>
    <row r="4992" spans="1:1">
      <c r="A4992" s="9"/>
    </row>
    <row r="4993" spans="1:1">
      <c r="A4993" s="9"/>
    </row>
    <row r="4994" spans="1:1">
      <c r="A4994" s="9"/>
    </row>
    <row r="4995" spans="1:1">
      <c r="A4995" s="9"/>
    </row>
    <row r="4996" spans="1:1">
      <c r="A4996" s="9"/>
    </row>
    <row r="4997" spans="1:1">
      <c r="A4997" s="9"/>
    </row>
    <row r="4998" spans="1:1">
      <c r="A4998" s="9"/>
    </row>
    <row r="4999" spans="1:1">
      <c r="A4999" s="9"/>
    </row>
    <row r="5000" spans="1:1">
      <c r="A5000" s="9"/>
    </row>
    <row r="5001" spans="1:1">
      <c r="A5001" s="9"/>
    </row>
    <row r="5002" spans="1:1">
      <c r="A5002" s="9"/>
    </row>
    <row r="5003" spans="1:1">
      <c r="A5003" s="9"/>
    </row>
    <row r="5004" spans="1:1">
      <c r="A5004" s="9"/>
    </row>
  </sheetData>
  <dataValidations count="1">
    <dataValidation type="whole" allowBlank="1" showInputMessage="1" showErrorMessage="1" error="Un entero entre 1 y 25, o vacío para que se calcule." sqref="D5">
      <formula1>1</formula1>
      <formula2>25</formula2>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321</vt:i4>
      </vt:variant>
    </vt:vector>
  </HeadingPairs>
  <TitlesOfParts>
    <vt:vector size="324" baseType="lpstr">
      <vt:lpstr>Léame</vt:lpstr>
      <vt:lpstr>Categorías</vt:lpstr>
      <vt:lpstr>Números en clases</vt:lpstr>
      <vt:lpstr>fc_aparicion</vt:lpstr>
      <vt:lpstr>fc_cat_10</vt:lpstr>
      <vt:lpstr>fc_cat_11</vt:lpstr>
      <vt:lpstr>fc_cat_12</vt:lpstr>
      <vt:lpstr>fc_cat_13</vt:lpstr>
      <vt:lpstr>fc_cat_14</vt:lpstr>
      <vt:lpstr>fc_cat_15</vt:lpstr>
      <vt:lpstr>fc_cat_16</vt:lpstr>
      <vt:lpstr>fc_cat_17</vt:lpstr>
      <vt:lpstr>fc_cat_18</vt:lpstr>
      <vt:lpstr>fc_cat_19</vt:lpstr>
      <vt:lpstr>fc_cat_1</vt:lpstr>
      <vt:lpstr>fc_cat_20</vt:lpstr>
      <vt:lpstr>fc_cat_2</vt:lpstr>
      <vt:lpstr>fc_cat_3</vt:lpstr>
      <vt:lpstr>fc_cat_4</vt:lpstr>
      <vt:lpstr>fc_cat_5</vt:lpstr>
      <vt:lpstr>fc_cat_6</vt:lpstr>
      <vt:lpstr>fc_cat_7</vt:lpstr>
      <vt:lpstr>fc_cat_8</vt:lpstr>
      <vt:lpstr>fc_cat_9</vt:lpstr>
      <vt:lpstr>fc_datos</vt:lpstr>
      <vt:lpstr>fc_distintas</vt:lpstr>
      <vt:lpstr>fc_fuera</vt:lpstr>
      <vt:lpstr>fc_n_10</vt:lpstr>
      <vt:lpstr>fc_n_11</vt:lpstr>
      <vt:lpstr>fc_n_12</vt:lpstr>
      <vt:lpstr>fc_n_13</vt:lpstr>
      <vt:lpstr>fc_n_14</vt:lpstr>
      <vt:lpstr>fc_n_15</vt:lpstr>
      <vt:lpstr>fc_n_16</vt:lpstr>
      <vt:lpstr>fc_n_17</vt:lpstr>
      <vt:lpstr>fc_n_18</vt:lpstr>
      <vt:lpstr>fc_n_19</vt:lpstr>
      <vt:lpstr>fc_n_1</vt:lpstr>
      <vt:lpstr>fc_n_20</vt:lpstr>
      <vt:lpstr>fc_n_2</vt:lpstr>
      <vt:lpstr>fc_n_3</vt:lpstr>
      <vt:lpstr>fc_n_4</vt:lpstr>
      <vt:lpstr>fc_n_5</vt:lpstr>
      <vt:lpstr>fc_n_6</vt:lpstr>
      <vt:lpstr>fc_n_7</vt:lpstr>
      <vt:lpstr>fc_n_8</vt:lpstr>
      <vt:lpstr>fc_n_9</vt:lpstr>
      <vt:lpstr>fc_nacum_10</vt:lpstr>
      <vt:lpstr>fc_nacum_11</vt:lpstr>
      <vt:lpstr>fc_nacum_12</vt:lpstr>
      <vt:lpstr>fc_nacum_13</vt:lpstr>
      <vt:lpstr>fc_nacum_14</vt:lpstr>
      <vt:lpstr>fc_nacum_15</vt:lpstr>
      <vt:lpstr>fc_nacum_16</vt:lpstr>
      <vt:lpstr>fc_nacum_17</vt:lpstr>
      <vt:lpstr>fc_nacum_18</vt:lpstr>
      <vt:lpstr>fc_nacum_19</vt:lpstr>
      <vt:lpstr>fc_nacum_1</vt:lpstr>
      <vt:lpstr>fc_nacum_20</vt:lpstr>
      <vt:lpstr>fc_nacum_2</vt:lpstr>
      <vt:lpstr>fc_nacum_3</vt:lpstr>
      <vt:lpstr>fc_nacum_4</vt:lpstr>
      <vt:lpstr>fc_nacum_5</vt:lpstr>
      <vt:lpstr>fc_nacum_6</vt:lpstr>
      <vt:lpstr>fc_nacum_7</vt:lpstr>
      <vt:lpstr>fc_nacum_8</vt:lpstr>
      <vt:lpstr>fc_nacum_9</vt:lpstr>
      <vt:lpstr>fc_norm</vt:lpstr>
      <vt:lpstr>fc_orden</vt:lpstr>
      <vt:lpstr>fc_pct_10</vt:lpstr>
      <vt:lpstr>fc_pct_11</vt:lpstr>
      <vt:lpstr>fc_pct_12</vt:lpstr>
      <vt:lpstr>fc_pct_13</vt:lpstr>
      <vt:lpstr>fc_pct_14</vt:lpstr>
      <vt:lpstr>fc_pct_15</vt:lpstr>
      <vt:lpstr>fc_pct_16</vt:lpstr>
      <vt:lpstr>fc_pct_17</vt:lpstr>
      <vt:lpstr>fc_pct_18</vt:lpstr>
      <vt:lpstr>fc_pct_19</vt:lpstr>
      <vt:lpstr>fc_pct_1</vt:lpstr>
      <vt:lpstr>fc_pct_20</vt:lpstr>
      <vt:lpstr>fc_pct_2</vt:lpstr>
      <vt:lpstr>fc_pct_3</vt:lpstr>
      <vt:lpstr>fc_pct_4</vt:lpstr>
      <vt:lpstr>fc_pct_5</vt:lpstr>
      <vt:lpstr>fc_pct_6</vt:lpstr>
      <vt:lpstr>fc_pct_7</vt:lpstr>
      <vt:lpstr>fc_pct_8</vt:lpstr>
      <vt:lpstr>fc_pct_9</vt:lpstr>
      <vt:lpstr>fc_pctacum_10</vt:lpstr>
      <vt:lpstr>fc_pctacum_11</vt:lpstr>
      <vt:lpstr>fc_pctacum_12</vt:lpstr>
      <vt:lpstr>fc_pctacum_13</vt:lpstr>
      <vt:lpstr>fc_pctacum_14</vt:lpstr>
      <vt:lpstr>fc_pctacum_15</vt:lpstr>
      <vt:lpstr>fc_pctacum_16</vt:lpstr>
      <vt:lpstr>fc_pctacum_17</vt:lpstr>
      <vt:lpstr>fc_pctacum_18</vt:lpstr>
      <vt:lpstr>fc_pctacum_19</vt:lpstr>
      <vt:lpstr>fc_pctacum_1</vt:lpstr>
      <vt:lpstr>fc_pctacum_20</vt:lpstr>
      <vt:lpstr>fc_pctacum_2</vt:lpstr>
      <vt:lpstr>fc_pctacum_3</vt:lpstr>
      <vt:lpstr>fc_pctacum_4</vt:lpstr>
      <vt:lpstr>fc_pctacum_5</vt:lpstr>
      <vt:lpstr>fc_pctacum_6</vt:lpstr>
      <vt:lpstr>fc_pctacum_7</vt:lpstr>
      <vt:lpstr>fc_pctacum_8</vt:lpstr>
      <vt:lpstr>fc_pctacum_9</vt:lpstr>
      <vt:lpstr>fc_propio</vt:lpstr>
      <vt:lpstr>fc_redaccion</vt:lpstr>
      <vt:lpstr>fc_suma</vt:lpstr>
      <vt:lpstr>fc_total</vt:lpstr>
      <vt:lpstr>fn_ancho</vt:lpstr>
      <vt:lpstr>fn_clase_10</vt:lpstr>
      <vt:lpstr>fn_clase_11</vt:lpstr>
      <vt:lpstr>fn_clase_12</vt:lpstr>
      <vt:lpstr>fn_clase_13</vt:lpstr>
      <vt:lpstr>fn_clase_14</vt:lpstr>
      <vt:lpstr>fn_clase_15</vt:lpstr>
      <vt:lpstr>fn_clase_16</vt:lpstr>
      <vt:lpstr>fn_clase_17</vt:lpstr>
      <vt:lpstr>fn_clase_18</vt:lpstr>
      <vt:lpstr>fn_clase_19</vt:lpstr>
      <vt:lpstr>fn_clase_1</vt:lpstr>
      <vt:lpstr>fn_clase_20</vt:lpstr>
      <vt:lpstr>fn_clase_21</vt:lpstr>
      <vt:lpstr>fn_clase_22</vt:lpstr>
      <vt:lpstr>fn_clase_23</vt:lpstr>
      <vt:lpstr>fn_clase_24</vt:lpstr>
      <vt:lpstr>fn_clase_25</vt:lpstr>
      <vt:lpstr>fn_clase_2</vt:lpstr>
      <vt:lpstr>fn_clase_3</vt:lpstr>
      <vt:lpstr>fn_clase_4</vt:lpstr>
      <vt:lpstr>fn_clase_5</vt:lpstr>
      <vt:lpstr>fn_clase_6</vt:lpstr>
      <vt:lpstr>fn_clase_7</vt:lpstr>
      <vt:lpstr>fn_clase_8</vt:lpstr>
      <vt:lpstr>fn_clase_9</vt:lpstr>
      <vt:lpstr>fn_datos</vt:lpstr>
      <vt:lpstr>fn_decimales</vt:lpstr>
      <vt:lpstr>fn_desde_10</vt:lpstr>
      <vt:lpstr>fn_desde_11</vt:lpstr>
      <vt:lpstr>fn_desde_12</vt:lpstr>
      <vt:lpstr>fn_desde_13</vt:lpstr>
      <vt:lpstr>fn_desde_14</vt:lpstr>
      <vt:lpstr>fn_desde_15</vt:lpstr>
      <vt:lpstr>fn_desde_16</vt:lpstr>
      <vt:lpstr>fn_desde_17</vt:lpstr>
      <vt:lpstr>fn_desde_18</vt:lpstr>
      <vt:lpstr>fn_desde_19</vt:lpstr>
      <vt:lpstr>fn_desde_1</vt:lpstr>
      <vt:lpstr>fn_desde_20</vt:lpstr>
      <vt:lpstr>fn_desde_21</vt:lpstr>
      <vt:lpstr>fn_desde_22</vt:lpstr>
      <vt:lpstr>fn_desde_23</vt:lpstr>
      <vt:lpstr>fn_desde_24</vt:lpstr>
      <vt:lpstr>fn_desde_25</vt:lpstr>
      <vt:lpstr>fn_desde_2</vt:lpstr>
      <vt:lpstr>fn_desde_3</vt:lpstr>
      <vt:lpstr>fn_desde_4</vt:lpstr>
      <vt:lpstr>fn_desde_5</vt:lpstr>
      <vt:lpstr>fn_desde_6</vt:lpstr>
      <vt:lpstr>fn_desde_7</vt:lpstr>
      <vt:lpstr>fn_desde_8</vt:lpstr>
      <vt:lpstr>fn_desde_9</vt:lpstr>
      <vt:lpstr>fn_hasta_10</vt:lpstr>
      <vt:lpstr>fn_hasta_11</vt:lpstr>
      <vt:lpstr>fn_hasta_12</vt:lpstr>
      <vt:lpstr>fn_hasta_13</vt:lpstr>
      <vt:lpstr>fn_hasta_14</vt:lpstr>
      <vt:lpstr>fn_hasta_15</vt:lpstr>
      <vt:lpstr>fn_hasta_16</vt:lpstr>
      <vt:lpstr>fn_hasta_17</vt:lpstr>
      <vt:lpstr>fn_hasta_18</vt:lpstr>
      <vt:lpstr>fn_hasta_19</vt:lpstr>
      <vt:lpstr>fn_hasta_1</vt:lpstr>
      <vt:lpstr>fn_hasta_20</vt:lpstr>
      <vt:lpstr>fn_hasta_21</vt:lpstr>
      <vt:lpstr>fn_hasta_22</vt:lpstr>
      <vt:lpstr>fn_hasta_23</vt:lpstr>
      <vt:lpstr>fn_hasta_24</vt:lpstr>
      <vt:lpstr>fn_hasta_25</vt:lpstr>
      <vt:lpstr>fn_hasta_2</vt:lpstr>
      <vt:lpstr>fn_hasta_3</vt:lpstr>
      <vt:lpstr>fn_hasta_4</vt:lpstr>
      <vt:lpstr>fn_hasta_5</vt:lpstr>
      <vt:lpstr>fn_hasta_6</vt:lpstr>
      <vt:lpstr>fn_hasta_7</vt:lpstr>
      <vt:lpstr>fn_hasta_8</vt:lpstr>
      <vt:lpstr>fn_hasta_9</vt:lpstr>
      <vt:lpstr>fn_k</vt:lpstr>
      <vt:lpstr>fn_k_auto</vt:lpstr>
      <vt:lpstr>fn_k_pedido</vt:lpstr>
      <vt:lpstr>fn_marca_10</vt:lpstr>
      <vt:lpstr>fn_marca_11</vt:lpstr>
      <vt:lpstr>fn_marca_12</vt:lpstr>
      <vt:lpstr>fn_marca_13</vt:lpstr>
      <vt:lpstr>fn_marca_14</vt:lpstr>
      <vt:lpstr>fn_marca_15</vt:lpstr>
      <vt:lpstr>fn_marca_16</vt:lpstr>
      <vt:lpstr>fn_marca_17</vt:lpstr>
      <vt:lpstr>fn_marca_18</vt:lpstr>
      <vt:lpstr>fn_marca_19</vt:lpstr>
      <vt:lpstr>fn_marca_1</vt:lpstr>
      <vt:lpstr>fn_marca_20</vt:lpstr>
      <vt:lpstr>fn_marca_21</vt:lpstr>
      <vt:lpstr>fn_marca_22</vt:lpstr>
      <vt:lpstr>fn_marca_23</vt:lpstr>
      <vt:lpstr>fn_marca_24</vt:lpstr>
      <vt:lpstr>fn_marca_25</vt:lpstr>
      <vt:lpstr>fn_marca_2</vt:lpstr>
      <vt:lpstr>fn_marca_3</vt:lpstr>
      <vt:lpstr>fn_marca_4</vt:lpstr>
      <vt:lpstr>fn_marca_5</vt:lpstr>
      <vt:lpstr>fn_marca_6</vt:lpstr>
      <vt:lpstr>fn_marca_7</vt:lpstr>
      <vt:lpstr>fn_marca_8</vt:lpstr>
      <vt:lpstr>fn_marca_9</vt:lpstr>
      <vt:lpstr>fn_max</vt:lpstr>
      <vt:lpstr>fn_min</vt:lpstr>
      <vt:lpstr>fn_n</vt:lpstr>
      <vt:lpstr>fn_n_10</vt:lpstr>
      <vt:lpstr>fn_n_11</vt:lpstr>
      <vt:lpstr>fn_n_12</vt:lpstr>
      <vt:lpstr>fn_n_13</vt:lpstr>
      <vt:lpstr>fn_n_14</vt:lpstr>
      <vt:lpstr>fn_n_15</vt:lpstr>
      <vt:lpstr>fn_n_16</vt:lpstr>
      <vt:lpstr>fn_n_17</vt:lpstr>
      <vt:lpstr>fn_n_18</vt:lpstr>
      <vt:lpstr>fn_n_19</vt:lpstr>
      <vt:lpstr>fn_n_1</vt:lpstr>
      <vt:lpstr>fn_n_20</vt:lpstr>
      <vt:lpstr>fn_n_21</vt:lpstr>
      <vt:lpstr>fn_n_22</vt:lpstr>
      <vt:lpstr>fn_n_23</vt:lpstr>
      <vt:lpstr>fn_n_24</vt:lpstr>
      <vt:lpstr>fn_n_25</vt:lpstr>
      <vt:lpstr>fn_n_2</vt:lpstr>
      <vt:lpstr>fn_n_3</vt:lpstr>
      <vt:lpstr>fn_n_4</vt:lpstr>
      <vt:lpstr>fn_n_5</vt:lpstr>
      <vt:lpstr>fn_n_6</vt:lpstr>
      <vt:lpstr>fn_n_7</vt:lpstr>
      <vt:lpstr>fn_n_8</vt:lpstr>
      <vt:lpstr>fn_n_9</vt:lpstr>
      <vt:lpstr>fn_nacum_10</vt:lpstr>
      <vt:lpstr>fn_nacum_11</vt:lpstr>
      <vt:lpstr>fn_nacum_12</vt:lpstr>
      <vt:lpstr>fn_nacum_13</vt:lpstr>
      <vt:lpstr>fn_nacum_14</vt:lpstr>
      <vt:lpstr>fn_nacum_15</vt:lpstr>
      <vt:lpstr>fn_nacum_16</vt:lpstr>
      <vt:lpstr>fn_nacum_17</vt:lpstr>
      <vt:lpstr>fn_nacum_18</vt:lpstr>
      <vt:lpstr>fn_nacum_19</vt:lpstr>
      <vt:lpstr>fn_nacum_1</vt:lpstr>
      <vt:lpstr>fn_nacum_20</vt:lpstr>
      <vt:lpstr>fn_nacum_21</vt:lpstr>
      <vt:lpstr>fn_nacum_22</vt:lpstr>
      <vt:lpstr>fn_nacum_23</vt:lpstr>
      <vt:lpstr>fn_nacum_24</vt:lpstr>
      <vt:lpstr>fn_nacum_25</vt:lpstr>
      <vt:lpstr>fn_nacum_2</vt:lpstr>
      <vt:lpstr>fn_nacum_3</vt:lpstr>
      <vt:lpstr>fn_nacum_4</vt:lpstr>
      <vt:lpstr>fn_nacum_5</vt:lpstr>
      <vt:lpstr>fn_nacum_6</vt:lpstr>
      <vt:lpstr>fn_nacum_7</vt:lpstr>
      <vt:lpstr>fn_nacum_8</vt:lpstr>
      <vt:lpstr>fn_nacum_9</vt:lpstr>
      <vt:lpstr>fn_pct_10</vt:lpstr>
      <vt:lpstr>fn_pct_11</vt:lpstr>
      <vt:lpstr>fn_pct_12</vt:lpstr>
      <vt:lpstr>fn_pct_13</vt:lpstr>
      <vt:lpstr>fn_pct_14</vt:lpstr>
      <vt:lpstr>fn_pct_15</vt:lpstr>
      <vt:lpstr>fn_pct_16</vt:lpstr>
      <vt:lpstr>fn_pct_17</vt:lpstr>
      <vt:lpstr>fn_pct_18</vt:lpstr>
      <vt:lpstr>fn_pct_19</vt:lpstr>
      <vt:lpstr>fn_pct_1</vt:lpstr>
      <vt:lpstr>fn_pct_20</vt:lpstr>
      <vt:lpstr>fn_pct_21</vt:lpstr>
      <vt:lpstr>fn_pct_22</vt:lpstr>
      <vt:lpstr>fn_pct_23</vt:lpstr>
      <vt:lpstr>fn_pct_24</vt:lpstr>
      <vt:lpstr>fn_pct_25</vt:lpstr>
      <vt:lpstr>fn_pct_2</vt:lpstr>
      <vt:lpstr>fn_pct_3</vt:lpstr>
      <vt:lpstr>fn_pct_4</vt:lpstr>
      <vt:lpstr>fn_pct_5</vt:lpstr>
      <vt:lpstr>fn_pct_6</vt:lpstr>
      <vt:lpstr>fn_pct_7</vt:lpstr>
      <vt:lpstr>fn_pct_8</vt:lpstr>
      <vt:lpstr>fn_pct_9</vt:lpstr>
      <vt:lpstr>fn_pctacum_10</vt:lpstr>
      <vt:lpstr>fn_pctacum_11</vt:lpstr>
      <vt:lpstr>fn_pctacum_12</vt:lpstr>
      <vt:lpstr>fn_pctacum_13</vt:lpstr>
      <vt:lpstr>fn_pctacum_14</vt:lpstr>
      <vt:lpstr>fn_pctacum_15</vt:lpstr>
      <vt:lpstr>fn_pctacum_16</vt:lpstr>
      <vt:lpstr>fn_pctacum_17</vt:lpstr>
      <vt:lpstr>fn_pctacum_18</vt:lpstr>
      <vt:lpstr>fn_pctacum_19</vt:lpstr>
      <vt:lpstr>fn_pctacum_1</vt:lpstr>
      <vt:lpstr>fn_pctacum_20</vt:lpstr>
      <vt:lpstr>fn_pctacum_21</vt:lpstr>
      <vt:lpstr>fn_pctacum_22</vt:lpstr>
      <vt:lpstr>fn_pctacum_23</vt:lpstr>
      <vt:lpstr>fn_pctacum_24</vt:lpstr>
      <vt:lpstr>fn_pctacum_25</vt:lpstr>
      <vt:lpstr>fn_pctacum_2</vt:lpstr>
      <vt:lpstr>fn_pctacum_3</vt:lpstr>
      <vt:lpstr>fn_pctacum_4</vt:lpstr>
      <vt:lpstr>fn_pctacum_5</vt:lpstr>
      <vt:lpstr>fn_pctacum_6</vt:lpstr>
      <vt:lpstr>fn_pctacum_7</vt:lpstr>
      <vt:lpstr>fn_pctacum_8</vt:lpstr>
      <vt:lpstr>fn_pctacum_9</vt:lpstr>
      <vt:lpstr>fn_ric</vt:lpstr>
      <vt:lpstr>fn_suma</vt:lpstr>
    </vt:vector>
  </TitlesOfParts>
  <Company>Mu3Sigma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Tabla de frecuencias</dc:title>
  <dc:subject>Plantilla de estadistica.ar</dc:subject>
  <dc:creator>estadistica.ar</dc:creator>
  <dc:description>Plantilla de estadistica.ar · CC BY-NC-SA 4.0</dc:description>
  <cp:lastModifiedBy>estadistica.ar</cp:lastModifiedBy>
  <dcterms:created xsi:type="dcterms:W3CDTF">2026-09-22T00:00:00Z</dcterms:created>
  <dcterms:modified xsi:type="dcterms:W3CDTF">2026-09-22T00:00:00Z</dcterms:modified>
</cp:coreProperties>
</file>